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521" windowWidth="7650" windowHeight="5805" activeTab="2"/>
  </bookViews>
  <sheets>
    <sheet name="IS" sheetId="1" r:id="rId1"/>
    <sheet name="BS" sheetId="2" r:id="rId2"/>
    <sheet name="equity" sheetId="3" r:id="rId3"/>
    <sheet name="CF" sheetId="4" r:id="rId4"/>
    <sheet name="Maxisegar" sheetId="5" state="hidden" r:id="rId5"/>
  </sheets>
  <externalReferences>
    <externalReference r:id="rId8"/>
    <externalReference r:id="rId9"/>
    <externalReference r:id="rId10"/>
  </externalReferences>
  <definedNames>
    <definedName name="A472..A481_" localSheetId="2">'[2]Consol'!#REF!</definedName>
    <definedName name="A472..A481_">'[1]Consol'!#REF!</definedName>
    <definedName name="_xlnm.Print_Area" localSheetId="1">'BS'!$A$1:$G$76</definedName>
    <definedName name="_xlnm.Print_Area" localSheetId="3">'CF'!$A$1:$G$41</definedName>
    <definedName name="_xlnm.Print_Area" localSheetId="2">'equity'!$A$1:$P$63</definedName>
    <definedName name="_xlnm.Print_Area" localSheetId="0">'IS'!$A$1:$H$64</definedName>
    <definedName name="_xlnm.Print_Titles" localSheetId="4">'Maxisegar'!$1:$7</definedName>
  </definedNames>
  <calcPr fullCalcOnLoad="1"/>
</workbook>
</file>

<file path=xl/sharedStrings.xml><?xml version="1.0" encoding="utf-8"?>
<sst xmlns="http://schemas.openxmlformats.org/spreadsheetml/2006/main" count="346" uniqueCount="176">
  <si>
    <t>TALAM CORPORATION BERHAD (1120-H)</t>
  </si>
  <si>
    <t>RM000</t>
  </si>
  <si>
    <t xml:space="preserve"> </t>
  </si>
  <si>
    <t>Inventories</t>
  </si>
  <si>
    <t>Condensed Consolidated Income Statements</t>
  </si>
  <si>
    <t>RM'000</t>
  </si>
  <si>
    <t>Revenue</t>
  </si>
  <si>
    <t>Cash and bank balances</t>
  </si>
  <si>
    <t>ASSETS</t>
  </si>
  <si>
    <t>Distributable</t>
  </si>
  <si>
    <t>Reserves</t>
  </si>
  <si>
    <t>Share</t>
  </si>
  <si>
    <t>Capital</t>
  </si>
  <si>
    <t>Foreign</t>
  </si>
  <si>
    <t>Equity</t>
  </si>
  <si>
    <t xml:space="preserve">Treasury </t>
  </si>
  <si>
    <t>Premium</t>
  </si>
  <si>
    <t xml:space="preserve">Exchange </t>
  </si>
  <si>
    <t>Shares</t>
  </si>
  <si>
    <t>Total</t>
  </si>
  <si>
    <t>Property development costs</t>
  </si>
  <si>
    <t>Deferred tax liabilities</t>
  </si>
  <si>
    <t>check</t>
  </si>
  <si>
    <t>Property, plant and equipment</t>
  </si>
  <si>
    <t>Land held for property development</t>
  </si>
  <si>
    <t>Investment properties</t>
  </si>
  <si>
    <t>Non-current assets</t>
  </si>
  <si>
    <t>Condensed Consolidated Balance Sheet</t>
  </si>
  <si>
    <t>Current assets</t>
  </si>
  <si>
    <t>TOTAL ASSETS</t>
  </si>
  <si>
    <t>EQUITY AND LIABILITIES</t>
  </si>
  <si>
    <t>Share capital</t>
  </si>
  <si>
    <t>Treasury shares</t>
  </si>
  <si>
    <t>Total equity</t>
  </si>
  <si>
    <t>Non-current liabilities</t>
  </si>
  <si>
    <t>Borrowings</t>
  </si>
  <si>
    <t>Deferred progress billings</t>
  </si>
  <si>
    <t>Current liabilities</t>
  </si>
  <si>
    <t>Total liabilities</t>
  </si>
  <si>
    <t>TOTAL EQUITY AND LIABILITIES</t>
  </si>
  <si>
    <t>Trade and other receivables</t>
  </si>
  <si>
    <t>Trade and other payables</t>
  </si>
  <si>
    <t>RM</t>
  </si>
  <si>
    <t>31 Jan</t>
  </si>
  <si>
    <t>Remaining</t>
  </si>
  <si>
    <t>Year</t>
  </si>
  <si>
    <t>lease payments</t>
  </si>
  <si>
    <t>As at</t>
  </si>
  <si>
    <t>31 Jan 2006</t>
  </si>
  <si>
    <t>Cost of sales</t>
  </si>
  <si>
    <t>Attributable to:</t>
  </si>
  <si>
    <t xml:space="preserve">  to equity holders of the Company:</t>
  </si>
  <si>
    <t>Continuing Operations</t>
  </si>
  <si>
    <t>as at</t>
  </si>
  <si>
    <t>preceding</t>
  </si>
  <si>
    <t>financial</t>
  </si>
  <si>
    <t>year end</t>
  </si>
  <si>
    <t>no of</t>
  </si>
  <si>
    <t>years</t>
  </si>
  <si>
    <t>months</t>
  </si>
  <si>
    <t xml:space="preserve"> quarter</t>
  </si>
  <si>
    <t>Preceding year</t>
  </si>
  <si>
    <t>Current</t>
  </si>
  <si>
    <t>year</t>
  </si>
  <si>
    <t>quarter</t>
  </si>
  <si>
    <t xml:space="preserve"> corresponding</t>
  </si>
  <si>
    <t>to-date</t>
  </si>
  <si>
    <t>Condensed Consolidated Statement of Changes in Equity</t>
  </si>
  <si>
    <t>Reserve</t>
  </si>
  <si>
    <t>Minority</t>
  </si>
  <si>
    <t>Interest</t>
  </si>
  <si>
    <t>Unaudited</t>
  </si>
  <si>
    <t>end of</t>
  </si>
  <si>
    <t>current</t>
  </si>
  <si>
    <t>(The figures have not been audited)</t>
  </si>
  <si>
    <t>Individual period</t>
  </si>
  <si>
    <t>Cumulative period</t>
  </si>
  <si>
    <t>period</t>
  </si>
  <si>
    <t xml:space="preserve">Net assets per share attributable to </t>
  </si>
  <si>
    <t>Prepaid lease payments for Menara Maxisegar as at 31 Jan 2006</t>
  </si>
  <si>
    <t>30 Apr 2006</t>
  </si>
  <si>
    <t>03 Apr</t>
  </si>
  <si>
    <t>ordinary equity holders of the Company (RM)</t>
  </si>
  <si>
    <t>Equity attributable to equity holders of the Company</t>
  </si>
  <si>
    <t>Minority interest</t>
  </si>
  <si>
    <t>Equity holders of the Company</t>
  </si>
  <si>
    <t>Inventories written down</t>
  </si>
  <si>
    <t>Foreign currency translation , representing</t>
  </si>
  <si>
    <t>net income recognised directly in equity</t>
  </si>
  <si>
    <t>Share of results of jointly controlled entities</t>
  </si>
  <si>
    <t>Current tax liabilities</t>
  </si>
  <si>
    <t>Current tax assets</t>
  </si>
  <si>
    <t>Audited</t>
  </si>
  <si>
    <t>Interest in jointly controlled entities</t>
  </si>
  <si>
    <t xml:space="preserve">Sinking funds held by trustees </t>
  </si>
  <si>
    <t>Other investment</t>
  </si>
  <si>
    <t>Total current assets</t>
  </si>
  <si>
    <t>Total non-current assets</t>
  </si>
  <si>
    <t>Capital and Reserves</t>
  </si>
  <si>
    <t>Other long term payables</t>
  </si>
  <si>
    <t>Provision for liabilities</t>
  </si>
  <si>
    <t>Finance costs</t>
  </si>
  <si>
    <t>Other income</t>
  </si>
  <si>
    <t>Administrative and other expenses</t>
  </si>
  <si>
    <t>Basic (sen)</t>
  </si>
  <si>
    <t>Diluted (sen)</t>
  </si>
  <si>
    <t>Attributable</t>
  </si>
  <si>
    <t>to Equity</t>
  </si>
  <si>
    <t>Holders of</t>
  </si>
  <si>
    <t>the Company</t>
  </si>
  <si>
    <t>Total recognised income and expenses for the period</t>
  </si>
  <si>
    <t>Profit for the year</t>
  </si>
  <si>
    <t>Liabilities directly associated with assets classified as held for sale</t>
  </si>
  <si>
    <t>Assets classified as held for sale</t>
  </si>
  <si>
    <t>Foreign currency translation</t>
  </si>
  <si>
    <t>Variance</t>
  </si>
  <si>
    <t>financial year</t>
  </si>
  <si>
    <t xml:space="preserve">  of a subsidiary</t>
  </si>
  <si>
    <t>Amount owing by associates</t>
  </si>
  <si>
    <t>Amount owing by jointly controlled entities</t>
  </si>
  <si>
    <t>Amount owing to jointly controlled entities</t>
  </si>
  <si>
    <t>At 1 February 2008</t>
  </si>
  <si>
    <t>Accumulated</t>
  </si>
  <si>
    <t>Losses</t>
  </si>
  <si>
    <t xml:space="preserve">Relating to </t>
  </si>
  <si>
    <t xml:space="preserve">Assets Held </t>
  </si>
  <si>
    <t>for Sale</t>
  </si>
  <si>
    <t>Total non-current liabilities</t>
  </si>
  <si>
    <t>Total current liabilities</t>
  </si>
  <si>
    <t>Goodwill</t>
  </si>
  <si>
    <t>At 31 January 2008</t>
  </si>
  <si>
    <t>Decrease n liability component of ICPS</t>
  </si>
  <si>
    <t>Acquisition of subsidiary</t>
  </si>
  <si>
    <t>Gross profit</t>
  </si>
  <si>
    <t>Gain on deconsolidation</t>
  </si>
  <si>
    <t>Reduction in share value</t>
  </si>
  <si>
    <t>Reduction in share premium</t>
  </si>
  <si>
    <t>Decrease in liability component of ICPS</t>
  </si>
  <si>
    <t>The condensed consolidated balance sheet should be read in conjunction with the audited financial statements for the year ended 31 January 2009.</t>
  </si>
  <si>
    <t>Prepaid lease payments</t>
  </si>
  <si>
    <t>Capital reduction</t>
  </si>
  <si>
    <t>Share premium reduction</t>
  </si>
  <si>
    <t xml:space="preserve">Acquisition of subsidiaries </t>
  </si>
  <si>
    <t>At 31 January 2009</t>
  </si>
  <si>
    <t>At 1 February 2009</t>
  </si>
  <si>
    <t>The condensed consolidated statement of changes in equity should be read in conjunction with the audited financial statements for the year ended 31 January 2009.</t>
  </si>
  <si>
    <t>The condensed consolidated income statements should be read in conjunction with the audited financial statements for the year ended 31 January 2009.</t>
  </si>
  <si>
    <t>Condensed consolidated cash flow statement</t>
  </si>
  <si>
    <t>Net increase in cash and cash equivalents</t>
  </si>
  <si>
    <t>Effects of exchange rate changes</t>
  </si>
  <si>
    <t>Cash and cash equivalents at beginning of the financial period</t>
  </si>
  <si>
    <t>Cash and cash equivalents at end of the financial period</t>
  </si>
  <si>
    <t>Cash and cash equivalents at the end of the financial period comprise the following:</t>
  </si>
  <si>
    <t>Deposits</t>
  </si>
  <si>
    <t>Bank overdrafts</t>
  </si>
  <si>
    <t>Cash and bank balances classified as held for sale</t>
  </si>
  <si>
    <t>Less : Short term deposit restricted in use</t>
  </si>
  <si>
    <t>The condensed consolidated cash flow statement should be read in conjunction with the audited financial statements for the year ended 31 January 2009.</t>
  </si>
  <si>
    <t xml:space="preserve">Profit/(Loss) per share attributable </t>
  </si>
  <si>
    <t>Profit before tax</t>
  </si>
  <si>
    <t>Income tax expense</t>
  </si>
  <si>
    <t>Q2 vs Q1</t>
  </si>
  <si>
    <t>Q2 vs Q4</t>
  </si>
  <si>
    <t>For the financial period ended 31 July 2009</t>
  </si>
  <si>
    <t>As at 31 July 2009</t>
  </si>
  <si>
    <t>Issued during the year</t>
  </si>
  <si>
    <t>Increased during the year</t>
  </si>
  <si>
    <t>Net cash (used in)/from operating activities</t>
  </si>
  <si>
    <t>Net cash used in investing activities</t>
  </si>
  <si>
    <t>Net cash from/(used in) financing activities</t>
  </si>
  <si>
    <t xml:space="preserve">Redeemable convertible secured loan stocks </t>
  </si>
  <si>
    <t>At 31 July 2009</t>
  </si>
  <si>
    <t xml:space="preserve">Equity </t>
  </si>
  <si>
    <t>Component</t>
  </si>
  <si>
    <t>of RCSLS</t>
  </si>
  <si>
    <t>&lt;------------- Non-Distributable Reserve ---------------&gt;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</si>
</sst>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hh:mm\ AM/PM_)"/>
    <numFmt numFmtId="172" formatCode="mm/dd/yy_)"/>
    <numFmt numFmtId="173" formatCode="#,##0.000_);\(#,##0.000\)"/>
    <numFmt numFmtId="174" formatCode="0.000_)"/>
    <numFmt numFmtId="175" formatCode="#,##0.0000_);\(#,##0.0000\)"/>
    <numFmt numFmtId="176" formatCode="0.0000_)"/>
    <numFmt numFmtId="177" formatCode="0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#,##0.0_);\(#,##0.0\)"/>
    <numFmt numFmtId="182" formatCode="0.00_);\(0.00\)"/>
    <numFmt numFmtId="183" formatCode="0.0_);\(0.0\)"/>
    <numFmt numFmtId="184" formatCode="0_);\(0\)"/>
    <numFmt numFmtId="185" formatCode="_(* #,##0.000_);_(* \(#,##0.000\);_(* &quot;-&quot;??_);_(@_)"/>
    <numFmt numFmtId="186" formatCode="_(* #,##0.0000_);_(* \(#,##0.0000\);_(* &quot;-&quot;??_);_(@_)"/>
    <numFmt numFmtId="187" formatCode="_(* #,##0.0000_);_(* \(#,##0.0000\);_(* &quot;-&quot;????_);_(@_)"/>
    <numFmt numFmtId="188" formatCode="0.00;[Red]0.00"/>
    <numFmt numFmtId="189" formatCode="0.0;[Red]0.0"/>
    <numFmt numFmtId="190" formatCode="0;[Red]0"/>
    <numFmt numFmtId="191" formatCode="_(* #,##0.000_);_(* \(#,##0.000\);_(* &quot;-&quot;???_);_(@_)"/>
    <numFmt numFmtId="192" formatCode="_(* #,##0.00000_);_(* \(#,##0.00000\);_(* &quot;-&quot;??_);_(@_)"/>
    <numFmt numFmtId="193" formatCode="_(* #,##0.0_);_(* \(#,##0.0\);_(* &quot;-&quot;?_);_(@_)"/>
    <numFmt numFmtId="194" formatCode="_(* #,##0.000000_);_(* \(#,##0.000000\);_(* &quot;-&quot;??_);_(@_)"/>
    <numFmt numFmtId="195" formatCode="mm/dd/yyyy"/>
    <numFmt numFmtId="196" formatCode="0.000%"/>
    <numFmt numFmtId="197" formatCode="0.0000%"/>
    <numFmt numFmtId="198" formatCode="#,##0.0_);[Red]\(#,##0.0\)"/>
    <numFmt numFmtId="199" formatCode="#,##0.000_);[Red]\(#,##0.000\)"/>
    <numFmt numFmtId="200" formatCode="#,##0.0000_);[Red]\(#,##0.0000\)"/>
    <numFmt numFmtId="201" formatCode="#,##0.000000000000_);[Red]\(#,##0.000000000000\)"/>
    <numFmt numFmtId="202" formatCode="#,##0.000000000000000000_);[Red]\(#,##0.000000000000000000\)"/>
    <numFmt numFmtId="203" formatCode="_(* #,##0.0000000_);_(* \(#,##0.0000000\);_(* &quot;-&quot;??_);_(@_)"/>
    <numFmt numFmtId="204" formatCode="mmmm\-yy"/>
    <numFmt numFmtId="205" formatCode="[$-409]dddd\,\ mmmm\ dd\,\ yyyy"/>
    <numFmt numFmtId="206" formatCode="[$-409]d/mmm/yyyy;@"/>
    <numFmt numFmtId="207" formatCode="0.00000"/>
    <numFmt numFmtId="208" formatCode="0.0000"/>
    <numFmt numFmtId="209" formatCode="d\-mmm\-yyyy"/>
    <numFmt numFmtId="210" formatCode="#,##0.00000_);\(#,##0.00000\)"/>
    <numFmt numFmtId="211" formatCode="#,##0.00000000000_);\(#,##0.00000000000\)"/>
    <numFmt numFmtId="212" formatCode="_(* #,##0.00000_);_(* \(#,##0.00000\);_(* &quot;-&quot;?????_);_(@_)"/>
    <numFmt numFmtId="213" formatCode="_(* #,##0.000000000000_);_(* \(#,##0.000000000000\);_(* &quot;-&quot;????????????_);_(@_)"/>
    <numFmt numFmtId="214" formatCode="_(* #,##0.0000000_);_(* \(#,##0.0000000\);_(* &quot;-&quot;???????_);_(@_)"/>
    <numFmt numFmtId="215" formatCode="_(* #,##0.000000000_);_(* \(#,##0.000000000\);_(* &quot;-&quot;?????????_);_(@_)"/>
    <numFmt numFmtId="216" formatCode="_(* #,##0.00000000_);_(* \(#,##0.00000000\);_(* &quot;-&quot;??_);_(@_)"/>
    <numFmt numFmtId="217" formatCode="_(* #,##0.000000000_);_(* \(#,##0.000000000\);_(* &quot;-&quot;??_);_(@_)"/>
    <numFmt numFmtId="218" formatCode="_(* #,##0.000_);_(* \(#,##0.000\);_(* &quot;-&quot;_);_(@_)"/>
    <numFmt numFmtId="219" formatCode="_(* #,##0.00_);_(* \(#,##0.00\);_(* &quot;-&quot;_);_(@_)"/>
    <numFmt numFmtId="220" formatCode="_(* #,##0.0_);_(* \(#,##0.0\);_(* &quot;-&quot;_);_(@_)"/>
    <numFmt numFmtId="221" formatCode="#,##0.000000_);\(#,##0.000000\)"/>
    <numFmt numFmtId="222" formatCode="#,##0.0000000_);\(#,##0.0000000\)"/>
    <numFmt numFmtId="223" formatCode="#,##0.00000000_);\(#,##0.00000000\)"/>
    <numFmt numFmtId="224" formatCode="#,##0.000000000_);\(#,##0.000000000\)"/>
  </numFmts>
  <fonts count="67">
    <font>
      <sz val="12"/>
      <name val="TimesNewRomanPS"/>
      <family val="0"/>
    </font>
    <font>
      <sz val="10"/>
      <name val="Arial"/>
      <family val="0"/>
    </font>
    <font>
      <u val="single"/>
      <sz val="12"/>
      <color indexed="36"/>
      <name val="TimesNewRomanPS"/>
      <family val="0"/>
    </font>
    <font>
      <u val="single"/>
      <sz val="12"/>
      <color indexed="12"/>
      <name val="TimesNewRomanPS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NewRomanPS"/>
      <family val="0"/>
    </font>
    <font>
      <b/>
      <sz val="10"/>
      <name val="TimesNewRomanPS"/>
      <family val="0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NewRomanPS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NewRomanPS"/>
      <family val="0"/>
    </font>
    <font>
      <u val="single"/>
      <sz val="12"/>
      <name val="TimesNewRomanPS"/>
      <family val="0"/>
    </font>
    <font>
      <i/>
      <sz val="10"/>
      <name val="Times New Roman"/>
      <family val="1"/>
    </font>
    <font>
      <b/>
      <sz val="8"/>
      <color indexed="12"/>
      <name val="Times New Roman"/>
      <family val="1"/>
    </font>
    <font>
      <sz val="10"/>
      <color indexed="10"/>
      <name val="TimesNewRomanPS"/>
      <family val="0"/>
    </font>
    <font>
      <i/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5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9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62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5">
    <xf numFmtId="37" fontId="0" fillId="0" borderId="0" xfId="0" applyAlignment="1">
      <alignment/>
    </xf>
    <xf numFmtId="37" fontId="4" fillId="0" borderId="0" xfId="0" applyFont="1" applyAlignment="1">
      <alignment/>
    </xf>
    <xf numFmtId="37" fontId="5" fillId="0" borderId="0" xfId="0" applyFont="1" applyFill="1" applyAlignment="1">
      <alignment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180" fontId="5" fillId="0" borderId="0" xfId="42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42" applyNumberFormat="1" applyFont="1" applyFill="1" applyBorder="1" applyAlignment="1">
      <alignment/>
    </xf>
    <xf numFmtId="37" fontId="7" fillId="0" borderId="0" xfId="0" applyFont="1" applyFill="1" applyAlignment="1">
      <alignment/>
    </xf>
    <xf numFmtId="180" fontId="5" fillId="0" borderId="10" xfId="42" applyNumberFormat="1" applyFont="1" applyFill="1" applyBorder="1" applyAlignment="1">
      <alignment/>
    </xf>
    <xf numFmtId="180" fontId="5" fillId="0" borderId="11" xfId="42" applyNumberFormat="1" applyFont="1" applyFill="1" applyBorder="1" applyAlignment="1">
      <alignment/>
    </xf>
    <xf numFmtId="180" fontId="5" fillId="0" borderId="12" xfId="42" applyNumberFormat="1" applyFont="1" applyFill="1" applyBorder="1" applyAlignment="1">
      <alignment/>
    </xf>
    <xf numFmtId="37" fontId="5" fillId="0" borderId="0" xfId="0" applyFont="1" applyAlignment="1">
      <alignment/>
    </xf>
    <xf numFmtId="180" fontId="6" fillId="0" borderId="0" xfId="42" applyNumberFormat="1" applyFont="1" applyAlignment="1">
      <alignment horizontal="center"/>
    </xf>
    <xf numFmtId="180" fontId="6" fillId="0" borderId="0" xfId="42" applyNumberFormat="1" applyFont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>
      <alignment horizontal="center"/>
    </xf>
    <xf numFmtId="180" fontId="5" fillId="0" borderId="0" xfId="42" applyNumberFormat="1" applyFont="1" applyAlignment="1">
      <alignment horizontal="center"/>
    </xf>
    <xf numFmtId="180" fontId="5" fillId="0" borderId="0" xfId="42" applyNumberFormat="1" applyFont="1" applyAlignment="1">
      <alignment/>
    </xf>
    <xf numFmtId="180" fontId="5" fillId="0" borderId="0" xfId="42" applyNumberFormat="1" applyFont="1" applyBorder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center"/>
    </xf>
    <xf numFmtId="37" fontId="4" fillId="0" borderId="0" xfId="0" applyFont="1" applyAlignment="1" quotePrefix="1">
      <alignment/>
    </xf>
    <xf numFmtId="15" fontId="4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  <xf numFmtId="37" fontId="5" fillId="0" borderId="0" xfId="0" applyFont="1" applyAlignment="1" quotePrefix="1">
      <alignment/>
    </xf>
    <xf numFmtId="180" fontId="5" fillId="0" borderId="13" xfId="42" applyNumberFormat="1" applyFont="1" applyFill="1" applyBorder="1" applyAlignment="1">
      <alignment/>
    </xf>
    <xf numFmtId="206" fontId="6" fillId="0" borderId="0" xfId="0" applyNumberFormat="1" applyFont="1" applyFill="1" applyAlignment="1">
      <alignment horizontal="center"/>
    </xf>
    <xf numFmtId="206" fontId="6" fillId="0" borderId="0" xfId="0" applyNumberFormat="1" applyFont="1" applyFill="1" applyAlignment="1">
      <alignment/>
    </xf>
    <xf numFmtId="206" fontId="5" fillId="0" borderId="0" xfId="0" applyNumberFormat="1" applyFont="1" applyFill="1" applyAlignment="1">
      <alignment/>
    </xf>
    <xf numFmtId="37" fontId="11" fillId="0" borderId="0" xfId="0" applyFont="1" applyFill="1" applyAlignment="1">
      <alignment horizontal="right"/>
    </xf>
    <xf numFmtId="43" fontId="12" fillId="0" borderId="0" xfId="42" applyFont="1" applyAlignment="1">
      <alignment/>
    </xf>
    <xf numFmtId="37" fontId="4" fillId="33" borderId="0" xfId="0" applyFont="1" applyFill="1" applyAlignment="1">
      <alignment/>
    </xf>
    <xf numFmtId="37" fontId="5" fillId="33" borderId="0" xfId="0" applyFont="1" applyFill="1" applyAlignment="1">
      <alignment/>
    </xf>
    <xf numFmtId="180" fontId="5" fillId="33" borderId="0" xfId="42" applyNumberFormat="1" applyFont="1" applyFill="1" applyAlignment="1">
      <alignment/>
    </xf>
    <xf numFmtId="180" fontId="13" fillId="33" borderId="0" xfId="42" applyNumberFormat="1" applyFont="1" applyFill="1" applyAlignment="1">
      <alignment horizontal="right"/>
    </xf>
    <xf numFmtId="180" fontId="10" fillId="33" borderId="0" xfId="42" applyNumberFormat="1" applyFont="1" applyFill="1" applyAlignment="1">
      <alignment horizontal="right"/>
    </xf>
    <xf numFmtId="180" fontId="6" fillId="33" borderId="12" xfId="42" applyNumberFormat="1" applyFont="1" applyFill="1" applyBorder="1" applyAlignment="1">
      <alignment horizontal="center"/>
    </xf>
    <xf numFmtId="37" fontId="5" fillId="33" borderId="14" xfId="0" applyFont="1" applyFill="1" applyBorder="1" applyAlignment="1">
      <alignment/>
    </xf>
    <xf numFmtId="180" fontId="6" fillId="33" borderId="15" xfId="42" applyNumberFormat="1" applyFont="1" applyFill="1" applyBorder="1" applyAlignment="1">
      <alignment horizontal="center"/>
    </xf>
    <xf numFmtId="37" fontId="5" fillId="33" borderId="16" xfId="0" applyFont="1" applyFill="1" applyBorder="1" applyAlignment="1">
      <alignment/>
    </xf>
    <xf numFmtId="180" fontId="5" fillId="33" borderId="12" xfId="42" applyNumberFormat="1" applyFont="1" applyFill="1" applyBorder="1" applyAlignment="1">
      <alignment/>
    </xf>
    <xf numFmtId="37" fontId="5" fillId="33" borderId="12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37" fontId="5" fillId="33" borderId="17" xfId="0" applyFont="1" applyFill="1" applyBorder="1" applyAlignment="1">
      <alignment/>
    </xf>
    <xf numFmtId="37" fontId="5" fillId="33" borderId="0" xfId="0" applyFont="1" applyFill="1" applyBorder="1" applyAlignment="1">
      <alignment/>
    </xf>
    <xf numFmtId="180" fontId="5" fillId="33" borderId="0" xfId="42" applyNumberFormat="1" applyFont="1" applyFill="1" applyBorder="1" applyAlignment="1">
      <alignment/>
    </xf>
    <xf numFmtId="43" fontId="5" fillId="33" borderId="0" xfId="42" applyFont="1" applyFill="1" applyAlignment="1">
      <alignment/>
    </xf>
    <xf numFmtId="180" fontId="5" fillId="0" borderId="0" xfId="42" applyNumberFormat="1" applyFont="1" applyFill="1" applyAlignment="1">
      <alignment horizontal="center"/>
    </xf>
    <xf numFmtId="180" fontId="6" fillId="33" borderId="18" xfId="42" applyNumberFormat="1" applyFont="1" applyFill="1" applyBorder="1" applyAlignment="1">
      <alignment horizontal="center"/>
    </xf>
    <xf numFmtId="180" fontId="5" fillId="33" borderId="16" xfId="42" applyNumberFormat="1" applyFont="1" applyFill="1" applyBorder="1" applyAlignment="1">
      <alignment/>
    </xf>
    <xf numFmtId="37" fontId="6" fillId="33" borderId="0" xfId="0" applyFont="1" applyFill="1" applyAlignment="1">
      <alignment/>
    </xf>
    <xf numFmtId="37" fontId="14" fillId="0" borderId="0" xfId="0" applyFont="1" applyFill="1" applyAlignment="1">
      <alignment horizontal="right"/>
    </xf>
    <xf numFmtId="37" fontId="0" fillId="0" borderId="0" xfId="0" applyAlignment="1">
      <alignment horizontal="center"/>
    </xf>
    <xf numFmtId="37" fontId="0" fillId="0" borderId="0" xfId="0" applyAlignment="1" quotePrefix="1">
      <alignment/>
    </xf>
    <xf numFmtId="37" fontId="5" fillId="0" borderId="10" xfId="0" applyFont="1" applyFill="1" applyBorder="1" applyAlignment="1">
      <alignment/>
    </xf>
    <xf numFmtId="0" fontId="0" fillId="0" borderId="0" xfId="0" applyNumberFormat="1" applyAlignment="1">
      <alignment/>
    </xf>
    <xf numFmtId="37" fontId="0" fillId="0" borderId="19" xfId="0" applyBorder="1" applyAlignment="1">
      <alignment/>
    </xf>
    <xf numFmtId="39" fontId="0" fillId="0" borderId="0" xfId="0" applyNumberFormat="1" applyAlignment="1">
      <alignment/>
    </xf>
    <xf numFmtId="37" fontId="0" fillId="0" borderId="0" xfId="0" applyAlignment="1" quotePrefix="1">
      <alignment horizontal="center"/>
    </xf>
    <xf numFmtId="43" fontId="0" fillId="0" borderId="0" xfId="42" applyFont="1" applyAlignment="1">
      <alignment/>
    </xf>
    <xf numFmtId="37" fontId="15" fillId="0" borderId="0" xfId="0" applyFont="1" applyAlignment="1">
      <alignment/>
    </xf>
    <xf numFmtId="37" fontId="16" fillId="0" borderId="0" xfId="0" applyFont="1" applyAlignment="1">
      <alignment/>
    </xf>
    <xf numFmtId="43" fontId="5" fillId="0" borderId="0" xfId="42" applyFont="1" applyAlignment="1">
      <alignment/>
    </xf>
    <xf numFmtId="0" fontId="6" fillId="33" borderId="12" xfId="42" applyNumberFormat="1" applyFont="1" applyFill="1" applyBorder="1" applyAlignment="1">
      <alignment horizontal="center"/>
    </xf>
    <xf numFmtId="180" fontId="6" fillId="33" borderId="12" xfId="42" applyNumberFormat="1" applyFont="1" applyFill="1" applyBorder="1" applyAlignment="1" quotePrefix="1">
      <alignment horizontal="center"/>
    </xf>
    <xf numFmtId="180" fontId="5" fillId="33" borderId="0" xfId="0" applyNumberFormat="1" applyFont="1" applyFill="1" applyAlignment="1">
      <alignment/>
    </xf>
    <xf numFmtId="180" fontId="6" fillId="33" borderId="16" xfId="42" applyNumberFormat="1" applyFont="1" applyFill="1" applyBorder="1" applyAlignment="1">
      <alignment horizontal="center"/>
    </xf>
    <xf numFmtId="180" fontId="6" fillId="0" borderId="0" xfId="42" applyNumberFormat="1" applyFont="1" applyBorder="1" applyAlignment="1">
      <alignment horizontal="center"/>
    </xf>
    <xf numFmtId="37" fontId="6" fillId="0" borderId="0" xfId="0" applyFont="1" applyBorder="1" applyAlignment="1">
      <alignment horizontal="center"/>
    </xf>
    <xf numFmtId="180" fontId="6" fillId="0" borderId="10" xfId="42" applyNumberFormat="1" applyFont="1" applyBorder="1" applyAlignment="1">
      <alignment horizontal="center"/>
    </xf>
    <xf numFmtId="37" fontId="9" fillId="0" borderId="10" xfId="0" applyFont="1" applyBorder="1" applyAlignment="1">
      <alignment horizontal="center"/>
    </xf>
    <xf numFmtId="37" fontId="17" fillId="33" borderId="0" xfId="0" applyFont="1" applyFill="1" applyAlignment="1">
      <alignment/>
    </xf>
    <xf numFmtId="37" fontId="17" fillId="0" borderId="0" xfId="0" applyFont="1" applyAlignment="1">
      <alignment/>
    </xf>
    <xf numFmtId="180" fontId="5" fillId="0" borderId="0" xfId="42" applyNumberFormat="1" applyFont="1" applyFill="1" applyAlignment="1">
      <alignment/>
    </xf>
    <xf numFmtId="180" fontId="5" fillId="0" borderId="0" xfId="42" applyNumberFormat="1" applyFont="1" applyAlignment="1">
      <alignment/>
    </xf>
    <xf numFmtId="43" fontId="0" fillId="0" borderId="0" xfId="42" applyFont="1" applyAlignment="1">
      <alignment horizontal="center"/>
    </xf>
    <xf numFmtId="43" fontId="0" fillId="0" borderId="19" xfId="42" applyFont="1" applyBorder="1" applyAlignment="1">
      <alignment/>
    </xf>
    <xf numFmtId="39" fontId="0" fillId="0" borderId="0" xfId="0" applyNumberFormat="1" applyBorder="1" applyAlignment="1">
      <alignment/>
    </xf>
    <xf numFmtId="37" fontId="18" fillId="0" borderId="0" xfId="0" applyFont="1" applyFill="1" applyAlignment="1">
      <alignment/>
    </xf>
    <xf numFmtId="43" fontId="5" fillId="0" borderId="20" xfId="42" applyNumberFormat="1" applyFont="1" applyFill="1" applyBorder="1" applyAlignment="1">
      <alignment/>
    </xf>
    <xf numFmtId="43" fontId="14" fillId="0" borderId="0" xfId="42" applyFont="1" applyFill="1" applyAlignment="1">
      <alignment/>
    </xf>
    <xf numFmtId="37" fontId="5" fillId="33" borderId="12" xfId="42" applyNumberFormat="1" applyFont="1" applyFill="1" applyBorder="1" applyAlignment="1">
      <alignment/>
    </xf>
    <xf numFmtId="37" fontId="5" fillId="33" borderId="21" xfId="0" applyNumberFormat="1" applyFont="1" applyFill="1" applyBorder="1" applyAlignment="1">
      <alignment/>
    </xf>
    <xf numFmtId="37" fontId="5" fillId="33" borderId="21" xfId="42" applyNumberFormat="1" applyFont="1" applyFill="1" applyBorder="1" applyAlignment="1">
      <alignment/>
    </xf>
    <xf numFmtId="37" fontId="5" fillId="0" borderId="0" xfId="0" applyNumberFormat="1" applyFont="1" applyAlignment="1">
      <alignment/>
    </xf>
    <xf numFmtId="14" fontId="6" fillId="33" borderId="17" xfId="42" applyNumberFormat="1" applyFont="1" applyFill="1" applyBorder="1" applyAlignment="1">
      <alignment horizontal="center"/>
    </xf>
    <xf numFmtId="14" fontId="5" fillId="33" borderId="0" xfId="0" applyNumberFormat="1" applyFont="1" applyFill="1" applyAlignment="1">
      <alignment/>
    </xf>
    <xf numFmtId="37" fontId="5" fillId="33" borderId="10" xfId="0" applyFont="1" applyFill="1" applyBorder="1" applyAlignment="1">
      <alignment/>
    </xf>
    <xf numFmtId="37" fontId="5" fillId="33" borderId="19" xfId="0" applyFont="1" applyFill="1" applyBorder="1" applyAlignment="1">
      <alignment/>
    </xf>
    <xf numFmtId="37" fontId="5" fillId="0" borderId="16" xfId="42" applyNumberFormat="1" applyFont="1" applyFill="1" applyBorder="1" applyAlignment="1">
      <alignment/>
    </xf>
    <xf numFmtId="37" fontId="5" fillId="0" borderId="22" xfId="42" applyNumberFormat="1" applyFont="1" applyFill="1" applyBorder="1" applyAlignment="1">
      <alignment/>
    </xf>
    <xf numFmtId="37" fontId="5" fillId="0" borderId="12" xfId="42" applyNumberFormat="1" applyFont="1" applyFill="1" applyBorder="1" applyAlignment="1">
      <alignment/>
    </xf>
    <xf numFmtId="37" fontId="5" fillId="0" borderId="18" xfId="42" applyNumberFormat="1" applyFont="1" applyFill="1" applyBorder="1" applyAlignment="1">
      <alignment/>
    </xf>
    <xf numFmtId="37" fontId="5" fillId="0" borderId="21" xfId="0" applyNumberFormat="1" applyFont="1" applyFill="1" applyBorder="1" applyAlignment="1">
      <alignment/>
    </xf>
    <xf numFmtId="180" fontId="5" fillId="0" borderId="16" xfId="42" applyNumberFormat="1" applyFont="1" applyFill="1" applyBorder="1" applyAlignment="1">
      <alignment/>
    </xf>
    <xf numFmtId="43" fontId="5" fillId="0" borderId="12" xfId="42" applyFont="1" applyFill="1" applyBorder="1" applyAlignment="1">
      <alignment/>
    </xf>
    <xf numFmtId="180" fontId="5" fillId="0" borderId="22" xfId="42" applyNumberFormat="1" applyFont="1" applyFill="1" applyBorder="1" applyAlignment="1">
      <alignment/>
    </xf>
    <xf numFmtId="39" fontId="5" fillId="33" borderId="0" xfId="0" applyNumberFormat="1" applyFont="1" applyFill="1" applyAlignment="1">
      <alignment/>
    </xf>
    <xf numFmtId="37" fontId="5" fillId="0" borderId="17" xfId="42" applyNumberFormat="1" applyFont="1" applyFill="1" applyBorder="1" applyAlignment="1">
      <alignment/>
    </xf>
    <xf numFmtId="37" fontId="5" fillId="0" borderId="15" xfId="42" applyNumberFormat="1" applyFont="1" applyFill="1" applyBorder="1" applyAlignment="1">
      <alignment/>
    </xf>
    <xf numFmtId="37" fontId="5" fillId="0" borderId="21" xfId="42" applyNumberFormat="1" applyFont="1" applyFill="1" applyBorder="1" applyAlignment="1">
      <alignment/>
    </xf>
    <xf numFmtId="180" fontId="5" fillId="0" borderId="17" xfId="42" applyNumberFormat="1" applyFont="1" applyFill="1" applyBorder="1" applyAlignment="1">
      <alignment/>
    </xf>
    <xf numFmtId="37" fontId="5" fillId="0" borderId="12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14" fontId="6" fillId="0" borderId="10" xfId="42" applyNumberFormat="1" applyFont="1" applyBorder="1" applyAlignment="1">
      <alignment horizontal="center"/>
    </xf>
    <xf numFmtId="180" fontId="14" fillId="0" borderId="0" xfId="42" applyNumberFormat="1" applyFont="1" applyAlignment="1">
      <alignment/>
    </xf>
    <xf numFmtId="37" fontId="14" fillId="0" borderId="0" xfId="0" applyNumberFormat="1" applyFont="1" applyAlignment="1">
      <alignment/>
    </xf>
    <xf numFmtId="37" fontId="14" fillId="0" borderId="0" xfId="0" applyFont="1" applyAlignment="1">
      <alignment/>
    </xf>
    <xf numFmtId="37" fontId="19" fillId="0" borderId="0" xfId="0" applyFont="1" applyAlignment="1">
      <alignment/>
    </xf>
    <xf numFmtId="170" fontId="5" fillId="0" borderId="0" xfId="0" applyNumberFormat="1" applyFont="1" applyAlignment="1">
      <alignment/>
    </xf>
    <xf numFmtId="37" fontId="5" fillId="0" borderId="11" xfId="0" applyFont="1" applyBorder="1" applyAlignment="1">
      <alignment/>
    </xf>
    <xf numFmtId="37" fontId="5" fillId="0" borderId="0" xfId="0" applyNumberFormat="1" applyFont="1" applyAlignment="1">
      <alignment horizontal="center"/>
    </xf>
    <xf numFmtId="37" fontId="20" fillId="0" borderId="0" xfId="0" applyFont="1" applyFill="1" applyAlignment="1">
      <alignment/>
    </xf>
    <xf numFmtId="37" fontId="0" fillId="0" borderId="0" xfId="0" applyBorder="1" applyAlignment="1">
      <alignment horizontal="center"/>
    </xf>
    <xf numFmtId="41" fontId="5" fillId="0" borderId="0" xfId="42" applyNumberFormat="1" applyFont="1" applyAlignment="1">
      <alignment/>
    </xf>
    <xf numFmtId="41" fontId="8" fillId="0" borderId="0" xfId="42" applyNumberFormat="1" applyFont="1" applyFill="1" applyAlignment="1">
      <alignment/>
    </xf>
    <xf numFmtId="41" fontId="5" fillId="0" borderId="0" xfId="42" applyNumberFormat="1" applyFont="1" applyBorder="1" applyAlignment="1">
      <alignment/>
    </xf>
    <xf numFmtId="41" fontId="8" fillId="0" borderId="0" xfId="42" applyNumberFormat="1" applyFont="1" applyAlignment="1">
      <alignment/>
    </xf>
    <xf numFmtId="41" fontId="5" fillId="0" borderId="10" xfId="42" applyNumberFormat="1" applyFont="1" applyBorder="1" applyAlignment="1">
      <alignment/>
    </xf>
    <xf numFmtId="41" fontId="5" fillId="0" borderId="11" xfId="42" applyNumberFormat="1" applyFont="1" applyBorder="1" applyAlignment="1">
      <alignment/>
    </xf>
    <xf numFmtId="41" fontId="8" fillId="0" borderId="10" xfId="42" applyNumberFormat="1" applyFont="1" applyBorder="1" applyAlignment="1">
      <alignment/>
    </xf>
    <xf numFmtId="41" fontId="6" fillId="0" borderId="13" xfId="42" applyNumberFormat="1" applyFont="1" applyBorder="1" applyAlignment="1">
      <alignment/>
    </xf>
    <xf numFmtId="41" fontId="5" fillId="0" borderId="0" xfId="42" applyNumberFormat="1" applyFont="1" applyFill="1" applyAlignment="1">
      <alignment/>
    </xf>
    <xf numFmtId="41" fontId="5" fillId="0" borderId="0" xfId="42" applyNumberFormat="1" applyFont="1" applyFill="1" applyBorder="1" applyAlignment="1">
      <alignment/>
    </xf>
    <xf numFmtId="41" fontId="6" fillId="0" borderId="13" xfId="42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22" fillId="0" borderId="0" xfId="0" applyFont="1" applyFill="1" applyAlignment="1">
      <alignment/>
    </xf>
    <xf numFmtId="37" fontId="23" fillId="0" borderId="0" xfId="0" applyFont="1" applyFill="1" applyAlignment="1">
      <alignment/>
    </xf>
    <xf numFmtId="37" fontId="24" fillId="0" borderId="0" xfId="0" applyFont="1" applyFill="1" applyAlignment="1">
      <alignment/>
    </xf>
    <xf numFmtId="37" fontId="25" fillId="0" borderId="0" xfId="0" applyFont="1" applyFill="1" applyAlignment="1">
      <alignment/>
    </xf>
    <xf numFmtId="37" fontId="26" fillId="0" borderId="0" xfId="0" applyFont="1" applyFill="1" applyAlignment="1">
      <alignment/>
    </xf>
    <xf numFmtId="37" fontId="27" fillId="0" borderId="0" xfId="0" applyFont="1" applyFill="1" applyAlignment="1">
      <alignment/>
    </xf>
    <xf numFmtId="37" fontId="28" fillId="0" borderId="0" xfId="0" applyFont="1" applyFill="1" applyAlignment="1">
      <alignment/>
    </xf>
    <xf numFmtId="37" fontId="29" fillId="0" borderId="0" xfId="0" applyFont="1" applyFill="1" applyAlignment="1">
      <alignment/>
    </xf>
    <xf numFmtId="37" fontId="30" fillId="0" borderId="0" xfId="0" applyFont="1" applyFill="1" applyAlignment="1">
      <alignment/>
    </xf>
    <xf numFmtId="40" fontId="5" fillId="33" borderId="0" xfId="42" applyNumberFormat="1" applyFont="1" applyFill="1" applyAlignment="1">
      <alignment/>
    </xf>
    <xf numFmtId="43" fontId="5" fillId="0" borderId="0" xfId="42" applyFont="1" applyFill="1" applyBorder="1" applyAlignment="1">
      <alignment horizontal="right"/>
    </xf>
    <xf numFmtId="180" fontId="5" fillId="0" borderId="11" xfId="42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43" fontId="5" fillId="0" borderId="0" xfId="42" applyFont="1" applyFill="1" applyAlignment="1">
      <alignment/>
    </xf>
    <xf numFmtId="37" fontId="5" fillId="0" borderId="12" xfId="0" applyFont="1" applyFill="1" applyBorder="1" applyAlignment="1">
      <alignment/>
    </xf>
    <xf numFmtId="43" fontId="21" fillId="0" borderId="0" xfId="42" applyFont="1" applyFill="1" applyAlignment="1">
      <alignment/>
    </xf>
    <xf numFmtId="186" fontId="21" fillId="0" borderId="0" xfId="42" applyNumberFormat="1" applyFont="1" applyFill="1" applyAlignment="1">
      <alignment/>
    </xf>
    <xf numFmtId="206" fontId="5" fillId="0" borderId="0" xfId="0" applyNumberFormat="1" applyFont="1" applyFill="1" applyAlignment="1">
      <alignment horizontal="center"/>
    </xf>
    <xf numFmtId="43" fontId="21" fillId="0" borderId="0" xfId="42" applyFont="1" applyFill="1" applyAlignment="1">
      <alignment horizontal="center"/>
    </xf>
    <xf numFmtId="43" fontId="14" fillId="0" borderId="0" xfId="42" applyNumberFormat="1" applyFont="1" applyAlignment="1">
      <alignment/>
    </xf>
    <xf numFmtId="180" fontId="19" fillId="0" borderId="0" xfId="42" applyNumberFormat="1" applyFont="1" applyAlignment="1">
      <alignment/>
    </xf>
    <xf numFmtId="180" fontId="19" fillId="0" borderId="0" xfId="0" applyNumberFormat="1" applyFont="1" applyAlignment="1">
      <alignment/>
    </xf>
    <xf numFmtId="41" fontId="6" fillId="0" borderId="11" xfId="42" applyNumberFormat="1" applyFont="1" applyBorder="1" applyAlignment="1">
      <alignment/>
    </xf>
    <xf numFmtId="37" fontId="6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80" fontId="14" fillId="0" borderId="0" xfId="42" applyNumberFormat="1" applyFont="1" applyFill="1" applyAlignment="1">
      <alignment/>
    </xf>
    <xf numFmtId="180" fontId="6" fillId="0" borderId="12" xfId="42" applyNumberFormat="1" applyFont="1" applyFill="1" applyBorder="1" applyAlignment="1" quotePrefix="1">
      <alignment horizontal="center"/>
    </xf>
    <xf numFmtId="0" fontId="6" fillId="0" borderId="12" xfId="42" applyNumberFormat="1" applyFont="1" applyFill="1" applyBorder="1" applyAlignment="1">
      <alignment horizontal="center"/>
    </xf>
    <xf numFmtId="180" fontId="6" fillId="0" borderId="12" xfId="42" applyNumberFormat="1" applyFont="1" applyFill="1" applyBorder="1" applyAlignment="1">
      <alignment horizontal="center"/>
    </xf>
    <xf numFmtId="14" fontId="6" fillId="0" borderId="17" xfId="42" applyNumberFormat="1" applyFont="1" applyFill="1" applyBorder="1" applyAlignment="1">
      <alignment horizontal="center"/>
    </xf>
    <xf numFmtId="180" fontId="6" fillId="0" borderId="15" xfId="42" applyNumberFormat="1" applyFont="1" applyFill="1" applyBorder="1" applyAlignment="1">
      <alignment horizontal="center"/>
    </xf>
    <xf numFmtId="38" fontId="5" fillId="0" borderId="0" xfId="0" applyNumberFormat="1" applyFont="1" applyAlignment="1">
      <alignment/>
    </xf>
    <xf numFmtId="38" fontId="5" fillId="0" borderId="0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43" fontId="31" fillId="0" borderId="0" xfId="42" applyFont="1" applyAlignment="1">
      <alignment/>
    </xf>
    <xf numFmtId="38" fontId="4" fillId="0" borderId="0" xfId="0" applyNumberFormat="1" applyFont="1" applyAlignment="1">
      <alignment/>
    </xf>
    <xf numFmtId="37" fontId="31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 horizontal="center"/>
    </xf>
    <xf numFmtId="180" fontId="6" fillId="0" borderId="0" xfId="42" applyNumberFormat="1" applyFont="1" applyFill="1" applyBorder="1" applyAlignment="1">
      <alignment horizontal="center"/>
    </xf>
    <xf numFmtId="180" fontId="5" fillId="0" borderId="0" xfId="42" applyNumberFormat="1" applyFont="1" applyFill="1" applyBorder="1" applyAlignment="1">
      <alignment/>
    </xf>
    <xf numFmtId="43" fontId="5" fillId="0" borderId="0" xfId="42" applyFont="1" applyBorder="1" applyAlignment="1">
      <alignment/>
    </xf>
    <xf numFmtId="38" fontId="32" fillId="0" borderId="0" xfId="0" applyNumberFormat="1" applyFont="1" applyBorder="1" applyAlignment="1">
      <alignment/>
    </xf>
    <xf numFmtId="180" fontId="5" fillId="0" borderId="10" xfId="42" applyNumberFormat="1" applyFont="1" applyBorder="1" applyAlignment="1">
      <alignment/>
    </xf>
    <xf numFmtId="180" fontId="5" fillId="0" borderId="10" xfId="42" applyNumberFormat="1" applyFont="1" applyFill="1" applyBorder="1" applyAlignment="1">
      <alignment/>
    </xf>
    <xf numFmtId="180" fontId="5" fillId="0" borderId="11" xfId="42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80" fontId="5" fillId="0" borderId="19" xfId="42" applyNumberFormat="1" applyFont="1" applyFill="1" applyBorder="1" applyAlignment="1">
      <alignment/>
    </xf>
    <xf numFmtId="38" fontId="6" fillId="0" borderId="0" xfId="0" applyNumberFormat="1" applyFont="1" applyBorder="1" applyAlignment="1">
      <alignment/>
    </xf>
    <xf numFmtId="180" fontId="5" fillId="0" borderId="0" xfId="42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33" borderId="0" xfId="0" applyFont="1" applyFill="1" applyAlignment="1">
      <alignment horizontal="center"/>
    </xf>
    <xf numFmtId="180" fontId="6" fillId="33" borderId="23" xfId="42" applyNumberFormat="1" applyFont="1" applyFill="1" applyBorder="1" applyAlignment="1">
      <alignment horizontal="center"/>
    </xf>
    <xf numFmtId="180" fontId="6" fillId="33" borderId="24" xfId="42" applyNumberFormat="1" applyFont="1" applyFill="1" applyBorder="1" applyAlignment="1">
      <alignment horizontal="center"/>
    </xf>
    <xf numFmtId="37" fontId="5" fillId="0" borderId="0" xfId="0" applyFont="1" applyFill="1" applyAlignment="1">
      <alignment horizontal="justify" vertical="center" wrapText="1"/>
    </xf>
    <xf numFmtId="37" fontId="0" fillId="0" borderId="0" xfId="0" applyAlignment="1">
      <alignment horizontal="justify" vertical="center" wrapText="1"/>
    </xf>
    <xf numFmtId="37" fontId="5" fillId="33" borderId="0" xfId="0" applyFont="1" applyFill="1" applyAlignment="1">
      <alignment horizontal="justify" vertical="center" wrapText="1"/>
    </xf>
    <xf numFmtId="37" fontId="5" fillId="0" borderId="0" xfId="0" applyFont="1" applyAlignment="1">
      <alignment horizontal="justify" vertical="center" wrapText="1"/>
    </xf>
    <xf numFmtId="180" fontId="6" fillId="0" borderId="0" xfId="42" applyNumberFormat="1" applyFont="1" applyBorder="1" applyAlignment="1">
      <alignment horizontal="center"/>
    </xf>
    <xf numFmtId="37" fontId="5" fillId="0" borderId="0" xfId="0" applyFont="1" applyAlignment="1">
      <alignment horizontal="justify" vertical="top" wrapText="1"/>
    </xf>
    <xf numFmtId="37" fontId="0" fillId="0" borderId="0" xfId="0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152400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29375" y="638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8448675" y="100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2004\Q32004\Book4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i\new%20folder\Consol%200709\Consol%200709%20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rther adj 2"/>
      <sheetName val="BS"/>
      <sheetName val="equity"/>
      <sheetName val="CF working"/>
      <sheetName val="Tam EBITDA"/>
      <sheetName val="GP by proj"/>
      <sheetName val="seg"/>
      <sheetName val="Cons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rther adj 2"/>
      <sheetName val="BS"/>
      <sheetName val="IS"/>
      <sheetName val="CF Condensed"/>
      <sheetName val="CF working"/>
      <sheetName val="Tam EBITDA"/>
      <sheetName val="GP by proj"/>
      <sheetName val="seg"/>
      <sheetName val="Cons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"/>
      <sheetName val="Financial_Stmts"/>
      <sheetName val="Consol"/>
      <sheetName val="LCBM"/>
      <sheetName val="Interco"/>
      <sheetName val="Jilin Ruyi"/>
      <sheetName val="China"/>
      <sheetName val="Seg"/>
      <sheetName val="Europlus"/>
      <sheetName val="MI"/>
      <sheetName val="TCB"/>
      <sheetName val="Maxisegar"/>
      <sheetName val="GJ"/>
      <sheetName val="Abra Devt"/>
      <sheetName val="Maxi const"/>
      <sheetName val="Maxi Realty"/>
      <sheetName val="Ideal"/>
      <sheetName val="PIMM"/>
      <sheetName val="TMC"/>
      <sheetName val="Inti"/>
      <sheetName val="Maxdale"/>
      <sheetName val="T Ind"/>
      <sheetName val="LTIMS"/>
      <sheetName val="Juara Tiasa"/>
      <sheetName val="T.Leisure"/>
      <sheetName val="Ulu Yam"/>
      <sheetName val="Zillion"/>
      <sheetName val="Cekap"/>
      <sheetName val="GL Devt"/>
      <sheetName val="T Prop"/>
      <sheetName val="New Court"/>
      <sheetName val="Gemapantas"/>
      <sheetName val="T Manu"/>
      <sheetName val="T Refri"/>
      <sheetName val="T Beverage"/>
      <sheetName val="tcbr"/>
      <sheetName val="T Tractors"/>
      <sheetName val="T Plant"/>
      <sheetName val="TCHK"/>
      <sheetName val="TMSSB"/>
      <sheetName val="Era Casa"/>
      <sheetName val="Malim"/>
      <sheetName val="Layatama"/>
      <sheetName val="T. Res(HK)"/>
      <sheetName val="Winax"/>
      <sheetName val="Noble Hse"/>
      <sheetName val="Regobase"/>
      <sheetName val="Parkgrove"/>
      <sheetName val="Maxi Edu"/>
      <sheetName val="K.Aman"/>
      <sheetName val="T Pre Dev"/>
      <sheetName val="T Gen.Food"/>
      <sheetName val="CrystalA"/>
      <sheetName val="Ex.Factor"/>
      <sheetName val="Starbase"/>
      <sheetName val="Noblepace"/>
      <sheetName val="M&amp;P"/>
      <sheetName val="Noble Right"/>
      <sheetName val="Index"/>
    </sheetNames>
    <sheetDataSet>
      <sheetData sheetId="1">
        <row r="12">
          <cell r="K12">
            <v>125637.40944695301</v>
          </cell>
        </row>
        <row r="13">
          <cell r="K13">
            <v>1137148.102694502</v>
          </cell>
        </row>
        <row r="14">
          <cell r="K14">
            <v>190893.11419999998</v>
          </cell>
        </row>
        <row r="15">
          <cell r="K15">
            <v>10430.714119999997</v>
          </cell>
        </row>
        <row r="18">
          <cell r="K18">
            <v>10414.840369000001</v>
          </cell>
        </row>
        <row r="19">
          <cell r="K19">
            <v>0</v>
          </cell>
        </row>
        <row r="21">
          <cell r="K21">
            <v>26202.8210774204</v>
          </cell>
        </row>
        <row r="22">
          <cell r="K22">
            <v>185.49670999999998</v>
          </cell>
        </row>
        <row r="23">
          <cell r="K23">
            <v>8051.4142</v>
          </cell>
        </row>
        <row r="25">
          <cell r="K25">
            <v>39208.1445</v>
          </cell>
        </row>
        <row r="29">
          <cell r="K29">
            <v>1195172.181835585</v>
          </cell>
        </row>
        <row r="30">
          <cell r="K30">
            <v>69533.54121572142</v>
          </cell>
        </row>
        <row r="31">
          <cell r="K31">
            <v>402.688</v>
          </cell>
        </row>
        <row r="32">
          <cell r="K32">
            <v>231534.45347588146</v>
          </cell>
        </row>
        <row r="33">
          <cell r="K33">
            <v>12623.553303392699</v>
          </cell>
        </row>
        <row r="34">
          <cell r="K34">
            <v>0</v>
          </cell>
        </row>
        <row r="41">
          <cell r="K41">
            <v>643549.6657100001</v>
          </cell>
        </row>
        <row r="42">
          <cell r="K42">
            <v>-492.84838</v>
          </cell>
        </row>
        <row r="43">
          <cell r="K43">
            <v>74236.24956756833</v>
          </cell>
        </row>
        <row r="45">
          <cell r="K45">
            <v>3563.031688360009</v>
          </cell>
        </row>
        <row r="49">
          <cell r="K49">
            <v>271939.13227999996</v>
          </cell>
        </row>
        <row r="50">
          <cell r="K50">
            <v>220072.737</v>
          </cell>
        </row>
        <row r="52">
          <cell r="K52">
            <v>79004.61341678137</v>
          </cell>
        </row>
        <row r="54">
          <cell r="K54">
            <v>47670.82714</v>
          </cell>
        </row>
        <row r="55">
          <cell r="K55">
            <v>25284.424097509935</v>
          </cell>
        </row>
        <row r="59">
          <cell r="K59">
            <v>93315.71091</v>
          </cell>
        </row>
        <row r="60">
          <cell r="K60">
            <v>324520.0511879154</v>
          </cell>
        </row>
        <row r="61">
          <cell r="K61">
            <v>1092677.6016744904</v>
          </cell>
        </row>
        <row r="62">
          <cell r="K62">
            <v>0</v>
          </cell>
        </row>
        <row r="63">
          <cell r="K63">
            <v>182097.27885000003</v>
          </cell>
        </row>
        <row r="64">
          <cell r="K64">
            <v>0</v>
          </cell>
        </row>
        <row r="79">
          <cell r="K79">
            <v>103373.30057622549</v>
          </cell>
        </row>
        <row r="80">
          <cell r="K80">
            <v>-87443.55336925919</v>
          </cell>
        </row>
        <row r="82">
          <cell r="K82">
            <v>-22164.252016111106</v>
          </cell>
        </row>
        <row r="83">
          <cell r="K83">
            <v>0</v>
          </cell>
        </row>
        <row r="84">
          <cell r="K84">
            <v>27317.098938951705</v>
          </cell>
        </row>
        <row r="85">
          <cell r="K85">
            <v>0</v>
          </cell>
        </row>
        <row r="87">
          <cell r="K87">
            <v>769.5085566666667</v>
          </cell>
        </row>
        <row r="88">
          <cell r="K88">
            <v>-20472.23158913509</v>
          </cell>
        </row>
        <row r="89">
          <cell r="K89">
            <v>0</v>
          </cell>
        </row>
        <row r="91">
          <cell r="K91">
            <v>1197.2602949999998</v>
          </cell>
        </row>
        <row r="93">
          <cell r="K93">
            <v>-141.39046000000002</v>
          </cell>
        </row>
        <row r="99">
          <cell r="K99">
            <v>-9.313225746154785E-13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564"/>
  <sheetViews>
    <sheetView showGridLines="0" zoomScale="85" zoomScaleNormal="85" zoomScaleSheetLayoutView="85" zoomScalePageLayoutView="0" workbookViewId="0" topLeftCell="A1">
      <pane xSplit="3" ySplit="11" topLeftCell="E12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J2" sqref="J2:K2"/>
    </sheetView>
  </sheetViews>
  <sheetFormatPr defaultColWidth="8.796875" defaultRowHeight="15"/>
  <cols>
    <col min="1" max="1" width="1.4921875" style="34" customWidth="1"/>
    <col min="2" max="2" width="25.59765625" style="34" customWidth="1"/>
    <col min="3" max="3" width="5.5" style="34" customWidth="1"/>
    <col min="4" max="5" width="17.59765625" style="35" customWidth="1"/>
    <col min="6" max="6" width="17.69921875" style="6" customWidth="1"/>
    <col min="7" max="7" width="18" style="35" customWidth="1"/>
    <col min="8" max="8" width="1.59765625" style="34" customWidth="1"/>
    <col min="9" max="9" width="5.5" style="34" customWidth="1"/>
    <col min="10" max="11" width="10.59765625" style="34" hidden="1" customWidth="1"/>
    <col min="12" max="12" width="9" style="34" customWidth="1"/>
    <col min="13" max="13" width="40.09765625" style="34" bestFit="1" customWidth="1"/>
    <col min="14" max="14" width="15" style="34" bestFit="1" customWidth="1"/>
    <col min="15" max="20" width="14" style="34" bestFit="1" customWidth="1"/>
    <col min="21" max="21" width="1.59765625" style="34" customWidth="1"/>
    <col min="22" max="23" width="14.59765625" style="34" bestFit="1" customWidth="1"/>
    <col min="24" max="28" width="9" style="34" customWidth="1"/>
    <col min="29" max="29" width="26.19921875" style="34" bestFit="1" customWidth="1"/>
    <col min="30" max="30" width="11.5" style="34" bestFit="1" customWidth="1"/>
    <col min="31" max="32" width="12" style="34" bestFit="1" customWidth="1"/>
    <col min="33" max="16384" width="9" style="34" customWidth="1"/>
  </cols>
  <sheetData>
    <row r="1" ht="12.75">
      <c r="A1" s="33" t="s">
        <v>0</v>
      </c>
    </row>
    <row r="2" ht="12.75">
      <c r="G2" s="36"/>
    </row>
    <row r="3" spans="2:7" ht="12.75">
      <c r="B3" s="33" t="s">
        <v>4</v>
      </c>
      <c r="G3" s="37"/>
    </row>
    <row r="4" ht="12.75">
      <c r="B4" s="33" t="s">
        <v>163</v>
      </c>
    </row>
    <row r="5" ht="12.75">
      <c r="B5" s="73" t="s">
        <v>74</v>
      </c>
    </row>
    <row r="6" spans="4:7" ht="12.75">
      <c r="D6" s="186" t="s">
        <v>75</v>
      </c>
      <c r="E6" s="187"/>
      <c r="F6" s="186" t="s">
        <v>76</v>
      </c>
      <c r="G6" s="187"/>
    </row>
    <row r="7" spans="4:7" ht="12.75">
      <c r="D7" s="66"/>
      <c r="E7" s="38"/>
      <c r="F7" s="156"/>
      <c r="G7" s="38"/>
    </row>
    <row r="8" spans="4:7" ht="12.75">
      <c r="D8" s="65" t="s">
        <v>62</v>
      </c>
      <c r="E8" s="65" t="s">
        <v>61</v>
      </c>
      <c r="F8" s="157" t="s">
        <v>62</v>
      </c>
      <c r="G8" s="65" t="s">
        <v>61</v>
      </c>
    </row>
    <row r="9" spans="4:11" ht="12.75">
      <c r="D9" s="65" t="s">
        <v>63</v>
      </c>
      <c r="E9" s="38" t="s">
        <v>65</v>
      </c>
      <c r="F9" s="157" t="s">
        <v>63</v>
      </c>
      <c r="G9" s="38" t="s">
        <v>65</v>
      </c>
      <c r="J9" s="185" t="s">
        <v>76</v>
      </c>
      <c r="K9" s="185"/>
    </row>
    <row r="10" spans="4:7" ht="12.75">
      <c r="D10" s="38" t="s">
        <v>60</v>
      </c>
      <c r="E10" s="38" t="s">
        <v>64</v>
      </c>
      <c r="F10" s="158" t="s">
        <v>66</v>
      </c>
      <c r="G10" s="68" t="s">
        <v>77</v>
      </c>
    </row>
    <row r="11" spans="4:11" ht="12.75">
      <c r="D11" s="87">
        <v>40025</v>
      </c>
      <c r="E11" s="87">
        <v>39660</v>
      </c>
      <c r="F11" s="159">
        <f>+D11</f>
        <v>40025</v>
      </c>
      <c r="G11" s="87">
        <f>+E11</f>
        <v>39660</v>
      </c>
      <c r="H11" s="39"/>
      <c r="J11" s="88">
        <v>39933</v>
      </c>
      <c r="K11" s="88">
        <v>39568</v>
      </c>
    </row>
    <row r="12" spans="4:7" ht="12.75">
      <c r="D12" s="40" t="s">
        <v>5</v>
      </c>
      <c r="E12" s="40" t="s">
        <v>5</v>
      </c>
      <c r="F12" s="160" t="s">
        <v>5</v>
      </c>
      <c r="G12" s="50" t="s">
        <v>5</v>
      </c>
    </row>
    <row r="13" spans="2:7" ht="12.75">
      <c r="B13" s="52" t="s">
        <v>52</v>
      </c>
      <c r="D13" s="38"/>
      <c r="E13" s="68"/>
      <c r="F13" s="158"/>
      <c r="G13" s="68"/>
    </row>
    <row r="14" spans="3:7" ht="12.75">
      <c r="C14" s="41"/>
      <c r="D14" s="42"/>
      <c r="E14" s="12"/>
      <c r="F14" s="12"/>
      <c r="G14" s="51"/>
    </row>
    <row r="15" spans="2:11" ht="12.75">
      <c r="B15" s="52" t="s">
        <v>6</v>
      </c>
      <c r="C15" s="41"/>
      <c r="D15" s="104">
        <f>+F15-J15</f>
        <v>41997</v>
      </c>
      <c r="E15" s="93">
        <f>+G15-K15</f>
        <v>56201</v>
      </c>
      <c r="F15" s="93">
        <f>ROUND(+'[3]Financial_Stmts'!K79/1,0)</f>
        <v>103373</v>
      </c>
      <c r="G15" s="91">
        <v>107082</v>
      </c>
      <c r="J15" s="34">
        <v>61376</v>
      </c>
      <c r="K15" s="34">
        <v>50881</v>
      </c>
    </row>
    <row r="16" spans="3:7" ht="12.75">
      <c r="C16" s="41"/>
      <c r="D16" s="104"/>
      <c r="E16" s="93"/>
      <c r="F16" s="93"/>
      <c r="G16" s="91"/>
    </row>
    <row r="17" spans="2:11" ht="12.75">
      <c r="B17" s="34" t="s">
        <v>49</v>
      </c>
      <c r="C17" s="41"/>
      <c r="D17" s="104">
        <f>+F17-J17</f>
        <v>-35164</v>
      </c>
      <c r="E17" s="93">
        <f>+G17-K17</f>
        <v>-46228</v>
      </c>
      <c r="F17" s="93">
        <f>ROUND(+'[3]Financial_Stmts'!K80/1,0)</f>
        <v>-87444</v>
      </c>
      <c r="G17" s="91">
        <v>-89414</v>
      </c>
      <c r="J17" s="34">
        <v>-52280</v>
      </c>
      <c r="K17" s="34">
        <v>-43186</v>
      </c>
    </row>
    <row r="18" spans="3:7" ht="4.5" customHeight="1">
      <c r="C18" s="41"/>
      <c r="D18" s="105"/>
      <c r="E18" s="100"/>
      <c r="F18" s="100"/>
      <c r="G18" s="92"/>
    </row>
    <row r="19" spans="3:11" ht="4.5" customHeight="1">
      <c r="C19" s="41"/>
      <c r="D19" s="104"/>
      <c r="E19" s="93"/>
      <c r="F19" s="93"/>
      <c r="G19" s="91"/>
      <c r="J19" s="89"/>
      <c r="K19" s="89"/>
    </row>
    <row r="20" spans="2:11" ht="12.75">
      <c r="B20" s="52" t="s">
        <v>133</v>
      </c>
      <c r="C20" s="41"/>
      <c r="D20" s="93">
        <f>SUM(D15:D17)</f>
        <v>6833</v>
      </c>
      <c r="E20" s="93">
        <f>SUM(E15:E17)</f>
        <v>9973</v>
      </c>
      <c r="F20" s="93">
        <f>SUM(F15:F17)</f>
        <v>15929</v>
      </c>
      <c r="G20" s="83">
        <v>17668</v>
      </c>
      <c r="H20" s="67"/>
      <c r="J20" s="34">
        <v>9096</v>
      </c>
      <c r="K20" s="34">
        <v>7695</v>
      </c>
    </row>
    <row r="21" spans="3:7" ht="12.75">
      <c r="C21" s="41"/>
      <c r="D21" s="104"/>
      <c r="E21" s="93"/>
      <c r="F21" s="93"/>
      <c r="G21" s="91"/>
    </row>
    <row r="22" spans="2:11" ht="12.75">
      <c r="B22" s="34" t="s">
        <v>102</v>
      </c>
      <c r="C22" s="41"/>
      <c r="D22" s="104">
        <f>+F22-J22</f>
        <v>15324</v>
      </c>
      <c r="E22" s="93">
        <f>+G22-K22</f>
        <v>49202</v>
      </c>
      <c r="F22" s="93">
        <f>ROUND((+'[3]Financial_Stmts'!$K$84+'[3]Financial_Stmts'!$K$85+'[3]Financial_Stmts'!$K$86+'[3]Financial_Stmts'!$K$87)/1,0)</f>
        <v>28087</v>
      </c>
      <c r="G22" s="91">
        <v>80082</v>
      </c>
      <c r="J22" s="34">
        <v>12763</v>
      </c>
      <c r="K22" s="34">
        <v>30880</v>
      </c>
    </row>
    <row r="23" spans="3:7" ht="12.75">
      <c r="C23" s="41"/>
      <c r="D23" s="104"/>
      <c r="E23" s="93"/>
      <c r="F23" s="93"/>
      <c r="G23" s="91"/>
    </row>
    <row r="24" spans="2:11" ht="12.75">
      <c r="B24" s="34" t="s">
        <v>103</v>
      </c>
      <c r="C24" s="41"/>
      <c r="D24" s="104">
        <f>+F24-J24</f>
        <v>-11884</v>
      </c>
      <c r="E24" s="93">
        <f>+G24-K24</f>
        <v>-15796</v>
      </c>
      <c r="F24" s="93">
        <f>ROUND((+'[3]Financial_Stmts'!$K$82)/1,0)</f>
        <v>-22164</v>
      </c>
      <c r="G24" s="91">
        <v>-28506</v>
      </c>
      <c r="J24" s="34">
        <v>-10280</v>
      </c>
      <c r="K24" s="34">
        <v>-12710</v>
      </c>
    </row>
    <row r="25" spans="3:7" ht="12.75" hidden="1">
      <c r="C25" s="41"/>
      <c r="D25" s="104"/>
      <c r="E25" s="93"/>
      <c r="F25" s="93"/>
      <c r="G25" s="91"/>
    </row>
    <row r="26" spans="2:11" ht="12.75" customHeight="1" hidden="1">
      <c r="B26" s="34" t="s">
        <v>86</v>
      </c>
      <c r="C26" s="41"/>
      <c r="D26" s="104">
        <v>0</v>
      </c>
      <c r="E26" s="93">
        <f>+G26-K26</f>
        <v>0</v>
      </c>
      <c r="F26" s="93">
        <v>0</v>
      </c>
      <c r="G26" s="91"/>
      <c r="J26" s="34">
        <v>0</v>
      </c>
      <c r="K26" s="34">
        <v>0</v>
      </c>
    </row>
    <row r="27" spans="3:7" ht="12.75" customHeight="1">
      <c r="C27" s="41"/>
      <c r="D27" s="104"/>
      <c r="E27" s="93"/>
      <c r="F27" s="93"/>
      <c r="G27" s="91">
        <v>0</v>
      </c>
    </row>
    <row r="28" spans="2:7" ht="12.75" customHeight="1">
      <c r="B28" s="34" t="s">
        <v>134</v>
      </c>
      <c r="C28" s="41"/>
      <c r="D28" s="104"/>
      <c r="E28" s="93"/>
      <c r="F28" s="93"/>
      <c r="G28" s="91"/>
    </row>
    <row r="29" spans="2:11" ht="12.75">
      <c r="B29" s="34" t="s">
        <v>117</v>
      </c>
      <c r="C29" s="41"/>
      <c r="D29" s="104">
        <f>+F29-J29</f>
        <v>0</v>
      </c>
      <c r="E29" s="93">
        <f>+G29-K29</f>
        <v>0</v>
      </c>
      <c r="F29" s="93">
        <f>ROUND(+'[3]Financial_Stmts'!$K$83/1,0)</f>
        <v>0</v>
      </c>
      <c r="G29" s="83">
        <v>0</v>
      </c>
      <c r="J29" s="34">
        <v>0</v>
      </c>
      <c r="K29" s="34">
        <v>0</v>
      </c>
    </row>
    <row r="30" spans="3:7" ht="12.75">
      <c r="C30" s="41"/>
      <c r="D30" s="93"/>
      <c r="E30" s="93"/>
      <c r="F30" s="93"/>
      <c r="G30" s="91"/>
    </row>
    <row r="31" spans="2:11" ht="12.75">
      <c r="B31" s="34" t="s">
        <v>101</v>
      </c>
      <c r="C31" s="41"/>
      <c r="D31" s="104">
        <f>+F31-J31</f>
        <v>-10773</v>
      </c>
      <c r="E31" s="93">
        <f>+G31-K31</f>
        <v>-15219</v>
      </c>
      <c r="F31" s="93">
        <f>ROUND(+'[3]Financial_Stmts'!$K$88+'[3]Financial_Stmts'!$K$89/1,0)</f>
        <v>-20472</v>
      </c>
      <c r="G31" s="91">
        <v>-28676</v>
      </c>
      <c r="J31" s="34">
        <v>-9699</v>
      </c>
      <c r="K31" s="34">
        <v>-13457</v>
      </c>
    </row>
    <row r="32" spans="3:7" ht="12.75">
      <c r="C32" s="41"/>
      <c r="D32" s="93"/>
      <c r="E32" s="93"/>
      <c r="F32" s="93"/>
      <c r="G32" s="91"/>
    </row>
    <row r="33" spans="2:11" ht="12.75">
      <c r="B33" s="34" t="s">
        <v>89</v>
      </c>
      <c r="C33" s="41"/>
      <c r="D33" s="104">
        <f>+F33-J33</f>
        <v>831</v>
      </c>
      <c r="E33" s="93">
        <f>+G33-K33</f>
        <v>-1535</v>
      </c>
      <c r="F33" s="93">
        <f>ROUND(+'[3]Financial_Stmts'!$K$91/1,0)</f>
        <v>1197</v>
      </c>
      <c r="G33" s="91">
        <v>-1946</v>
      </c>
      <c r="J33" s="34">
        <v>366</v>
      </c>
      <c r="K33" s="34">
        <v>-411</v>
      </c>
    </row>
    <row r="34" spans="3:11" ht="4.5" customHeight="1">
      <c r="C34" s="41"/>
      <c r="D34" s="93"/>
      <c r="E34" s="93"/>
      <c r="F34" s="93"/>
      <c r="G34" s="91"/>
      <c r="J34" s="89"/>
      <c r="K34" s="89"/>
    </row>
    <row r="35" spans="3:7" ht="4.5" customHeight="1">
      <c r="C35" s="41"/>
      <c r="D35" s="101"/>
      <c r="E35" s="101"/>
      <c r="F35" s="101"/>
      <c r="G35" s="94"/>
    </row>
    <row r="36" spans="2:11" ht="12.75" customHeight="1">
      <c r="B36" s="52" t="s">
        <v>159</v>
      </c>
      <c r="C36" s="44" t="s">
        <v>2</v>
      </c>
      <c r="D36" s="83">
        <f>SUM(D20:D34)</f>
        <v>331</v>
      </c>
      <c r="E36" s="83">
        <f>SUM(E20:E34)</f>
        <v>26625</v>
      </c>
      <c r="F36" s="93">
        <f>SUM(F20:F34)</f>
        <v>2577</v>
      </c>
      <c r="G36" s="83">
        <v>38622</v>
      </c>
      <c r="J36" s="34">
        <v>2246</v>
      </c>
      <c r="K36" s="34">
        <v>11997</v>
      </c>
    </row>
    <row r="37" spans="4:7" ht="12.75" customHeight="1">
      <c r="D37" s="93"/>
      <c r="E37" s="93"/>
      <c r="F37" s="93"/>
      <c r="G37" s="91"/>
    </row>
    <row r="38" spans="2:11" ht="12.75">
      <c r="B38" s="34" t="s">
        <v>160</v>
      </c>
      <c r="D38" s="104">
        <f>+F38-J38</f>
        <v>-131</v>
      </c>
      <c r="E38" s="93">
        <f>+G38-K38</f>
        <v>-11</v>
      </c>
      <c r="F38" s="93">
        <f>ROUND(+'[3]Financial_Stmts'!$K$93/1,0)</f>
        <v>-141</v>
      </c>
      <c r="G38" s="91">
        <v>-2758</v>
      </c>
      <c r="J38" s="34">
        <v>-10</v>
      </c>
      <c r="K38" s="34">
        <v>-2747</v>
      </c>
    </row>
    <row r="39" spans="4:7" ht="4.5" customHeight="1">
      <c r="D39" s="100"/>
      <c r="E39" s="100"/>
      <c r="F39" s="100"/>
      <c r="G39" s="92"/>
    </row>
    <row r="40" spans="4:7" ht="4.5" customHeight="1">
      <c r="D40" s="93"/>
      <c r="E40" s="93"/>
      <c r="F40" s="93"/>
      <c r="G40" s="91"/>
    </row>
    <row r="41" spans="2:11" ht="12.75" customHeight="1" thickBot="1">
      <c r="B41" s="52" t="s">
        <v>111</v>
      </c>
      <c r="D41" s="95">
        <f>SUM(D35:D38)</f>
        <v>200</v>
      </c>
      <c r="E41" s="102">
        <f>SUM(E35:E38)</f>
        <v>26614</v>
      </c>
      <c r="F41" s="102">
        <f>SUM(F35:F38)</f>
        <v>2436</v>
      </c>
      <c r="G41" s="85">
        <v>35864</v>
      </c>
      <c r="J41" s="90">
        <f>SUM(J36:J38)</f>
        <v>2236</v>
      </c>
      <c r="K41" s="90">
        <f>SUM(K36:K38)</f>
        <v>9250</v>
      </c>
    </row>
    <row r="42" spans="4:7" ht="13.5" thickTop="1">
      <c r="D42" s="104" t="s">
        <v>2</v>
      </c>
      <c r="E42" s="93"/>
      <c r="F42" s="93"/>
      <c r="G42" s="91"/>
    </row>
    <row r="43" spans="2:7" ht="12.75">
      <c r="B43" s="34" t="s">
        <v>50</v>
      </c>
      <c r="D43" s="104"/>
      <c r="E43" s="93"/>
      <c r="F43" s="93"/>
      <c r="G43" s="91"/>
    </row>
    <row r="44" spans="4:7" ht="12.75">
      <c r="D44" s="104"/>
      <c r="E44" s="93"/>
      <c r="F44" s="93"/>
      <c r="G44" s="91"/>
    </row>
    <row r="45" spans="2:11" ht="12.75">
      <c r="B45" s="34" t="s">
        <v>85</v>
      </c>
      <c r="D45" s="104">
        <f>+F45-J45</f>
        <v>195</v>
      </c>
      <c r="E45" s="93">
        <f>+E41-E47</f>
        <v>26628</v>
      </c>
      <c r="F45" s="93">
        <f>+F41-F47</f>
        <v>2436</v>
      </c>
      <c r="G45" s="91">
        <v>31782</v>
      </c>
      <c r="J45" s="34">
        <v>2241</v>
      </c>
      <c r="K45" s="34">
        <v>5154</v>
      </c>
    </row>
    <row r="46" spans="4:7" ht="12.75">
      <c r="D46" s="104"/>
      <c r="E46" s="93"/>
      <c r="F46" s="93"/>
      <c r="G46" s="91"/>
    </row>
    <row r="47" spans="2:11" ht="12.75">
      <c r="B47" s="34" t="s">
        <v>84</v>
      </c>
      <c r="D47" s="104">
        <f>+F47-J47</f>
        <v>5</v>
      </c>
      <c r="E47" s="93">
        <f>+G47-K47</f>
        <v>-14</v>
      </c>
      <c r="F47" s="93">
        <f>ROUND('[3]Financial_Stmts'!$K$99/1,0)</f>
        <v>0</v>
      </c>
      <c r="G47" s="91">
        <v>4082</v>
      </c>
      <c r="J47" s="34">
        <v>-5</v>
      </c>
      <c r="K47" s="34">
        <v>4096</v>
      </c>
    </row>
    <row r="48" spans="4:7" ht="4.5" customHeight="1">
      <c r="D48" s="105"/>
      <c r="E48" s="100"/>
      <c r="F48" s="100"/>
      <c r="G48" s="92"/>
    </row>
    <row r="49" spans="4:7" ht="4.5" customHeight="1">
      <c r="D49" s="106"/>
      <c r="E49" s="101"/>
      <c r="F49" s="101"/>
      <c r="G49" s="94"/>
    </row>
    <row r="50" spans="4:11" ht="12.75" customHeight="1" thickBot="1">
      <c r="D50" s="95">
        <f>SUM(D44:D47)</f>
        <v>200</v>
      </c>
      <c r="E50" s="95">
        <f>SUM(E44:E47)</f>
        <v>26614</v>
      </c>
      <c r="F50" s="95">
        <f>SUM(F44:F47)</f>
        <v>2436</v>
      </c>
      <c r="G50" s="84">
        <v>35864</v>
      </c>
      <c r="J50" s="90">
        <f>SUM(J45:J47)</f>
        <v>2236</v>
      </c>
      <c r="K50" s="90">
        <f>SUM(K45:K47)</f>
        <v>9250</v>
      </c>
    </row>
    <row r="51" spans="4:7" ht="13.5" thickTop="1">
      <c r="D51" s="43"/>
      <c r="E51" s="12"/>
      <c r="F51" s="12"/>
      <c r="G51" s="96"/>
    </row>
    <row r="52" spans="2:7" ht="12.75">
      <c r="B52" s="52" t="s">
        <v>158</v>
      </c>
      <c r="D52" s="43"/>
      <c r="E52" s="12"/>
      <c r="F52" s="12"/>
      <c r="G52" s="96"/>
    </row>
    <row r="53" spans="2:7" ht="12.75">
      <c r="B53" s="52" t="s">
        <v>51</v>
      </c>
      <c r="D53" s="143"/>
      <c r="E53" s="12"/>
      <c r="F53" s="12"/>
      <c r="G53" s="96"/>
    </row>
    <row r="54" spans="2:11" ht="12.75">
      <c r="B54" s="2" t="s">
        <v>104</v>
      </c>
      <c r="D54" s="97">
        <f>+D45/1970677*100</f>
        <v>0.009895076666546572</v>
      </c>
      <c r="E54" s="97">
        <f>+E45/642700.854*100</f>
        <v>4.143140597102738</v>
      </c>
      <c r="F54" s="97">
        <f>+F45/(1837256.575)*100</f>
        <v>0.13258899345618072</v>
      </c>
      <c r="G54" s="97">
        <f>+G45/642700.854*100</f>
        <v>4.945068892035422</v>
      </c>
      <c r="J54" s="99"/>
      <c r="K54" s="99"/>
    </row>
    <row r="55" spans="2:11" ht="12.75">
      <c r="B55" s="2" t="s">
        <v>105</v>
      </c>
      <c r="D55" s="97">
        <f>(+D45/2951848)*100</f>
        <v>0.006606031204858787</v>
      </c>
      <c r="E55" s="97">
        <f>+E45/642700.854*100</f>
        <v>4.143140597102738</v>
      </c>
      <c r="F55" s="97">
        <f>+F45/2335974*100</f>
        <v>0.10428198259055965</v>
      </c>
      <c r="G55" s="97">
        <f>+G45/642700.854*100</f>
        <v>4.945068892035422</v>
      </c>
      <c r="J55" s="99"/>
      <c r="K55" s="139"/>
    </row>
    <row r="56" spans="2:7" ht="4.5" customHeight="1">
      <c r="B56" s="2"/>
      <c r="D56" s="97"/>
      <c r="E56" s="97"/>
      <c r="F56" s="97"/>
      <c r="G56" s="97"/>
    </row>
    <row r="57" spans="4:7" ht="4.5" customHeight="1">
      <c r="D57" s="45"/>
      <c r="E57" s="103"/>
      <c r="F57" s="103"/>
      <c r="G57" s="98"/>
    </row>
    <row r="58" spans="4:7" ht="12.75" customHeight="1">
      <c r="D58" s="46"/>
      <c r="E58" s="8"/>
      <c r="F58" s="8"/>
      <c r="G58" s="47"/>
    </row>
    <row r="59" ht="12.75">
      <c r="G59" s="48" t="s">
        <v>2</v>
      </c>
    </row>
    <row r="62" spans="2:7" ht="12.75">
      <c r="B62" s="190" t="s">
        <v>146</v>
      </c>
      <c r="C62" s="189"/>
      <c r="D62" s="189"/>
      <c r="E62" s="189"/>
      <c r="F62" s="189"/>
      <c r="G62" s="189"/>
    </row>
    <row r="63" spans="2:7" ht="12.75">
      <c r="B63" s="189"/>
      <c r="C63" s="189"/>
      <c r="D63" s="189"/>
      <c r="E63" s="189"/>
      <c r="F63" s="189"/>
      <c r="G63" s="189"/>
    </row>
    <row r="65" spans="2:7" ht="12.75">
      <c r="B65" s="188"/>
      <c r="C65" s="189"/>
      <c r="D65" s="189"/>
      <c r="E65" s="189"/>
      <c r="F65" s="189"/>
      <c r="G65" s="189"/>
    </row>
    <row r="66" spans="2:7" ht="12.75">
      <c r="B66" s="189"/>
      <c r="C66" s="189"/>
      <c r="D66" s="189"/>
      <c r="E66" s="189"/>
      <c r="F66" s="189"/>
      <c r="G66" s="189"/>
    </row>
    <row r="511" spans="14:16" ht="12.75">
      <c r="N511" s="138"/>
      <c r="O511" s="138"/>
      <c r="P511" s="138"/>
    </row>
    <row r="512" spans="14:16" ht="12.75">
      <c r="N512" s="138"/>
      <c r="O512" s="138"/>
      <c r="P512" s="138"/>
    </row>
    <row r="513" spans="14:16" ht="12.75">
      <c r="N513" s="138"/>
      <c r="O513" s="138"/>
      <c r="P513" s="138"/>
    </row>
    <row r="514" spans="14:16" ht="12.75">
      <c r="N514" s="138"/>
      <c r="O514" s="138"/>
      <c r="P514" s="138"/>
    </row>
    <row r="515" spans="14:16" ht="12.75">
      <c r="N515" s="138"/>
      <c r="O515" s="138"/>
      <c r="P515" s="138"/>
    </row>
    <row r="516" spans="14:16" ht="12.75">
      <c r="N516" s="138"/>
      <c r="O516" s="138"/>
      <c r="P516" s="138"/>
    </row>
    <row r="517" spans="14:16" ht="12.75">
      <c r="N517" s="138"/>
      <c r="O517" s="138"/>
      <c r="P517" s="138"/>
    </row>
    <row r="518" spans="14:16" ht="12.75">
      <c r="N518" s="138"/>
      <c r="O518" s="138"/>
      <c r="P518" s="138"/>
    </row>
    <row r="519" spans="14:16" ht="12.75">
      <c r="N519" s="138"/>
      <c r="O519" s="138"/>
      <c r="P519" s="138"/>
    </row>
    <row r="520" spans="14:16" ht="12.75">
      <c r="N520" s="138"/>
      <c r="O520" s="138"/>
      <c r="P520" s="138"/>
    </row>
    <row r="521" spans="14:16" ht="12.75">
      <c r="N521" s="138"/>
      <c r="O521" s="138"/>
      <c r="P521" s="138"/>
    </row>
    <row r="522" spans="14:16" ht="12.75">
      <c r="N522" s="138"/>
      <c r="O522" s="138"/>
      <c r="P522" s="138"/>
    </row>
    <row r="523" spans="14:16" ht="12.75">
      <c r="N523" s="138"/>
      <c r="O523" s="138"/>
      <c r="P523" s="138"/>
    </row>
    <row r="524" spans="14:16" ht="12.75">
      <c r="N524" s="138"/>
      <c r="O524" s="138"/>
      <c r="P524" s="138"/>
    </row>
    <row r="525" spans="14:16" ht="12.75">
      <c r="N525" s="138"/>
      <c r="O525" s="138"/>
      <c r="P525" s="138"/>
    </row>
    <row r="526" spans="14:16" ht="12.75">
      <c r="N526" s="138"/>
      <c r="O526" s="138"/>
      <c r="P526" s="138"/>
    </row>
    <row r="527" spans="14:16" ht="12.75">
      <c r="N527" s="138"/>
      <c r="O527" s="138"/>
      <c r="P527" s="138"/>
    </row>
    <row r="528" spans="14:16" ht="12.75">
      <c r="N528" s="138"/>
      <c r="O528" s="138"/>
      <c r="P528" s="138"/>
    </row>
    <row r="529" spans="14:16" ht="12.75">
      <c r="N529" s="138"/>
      <c r="O529" s="138"/>
      <c r="P529" s="138"/>
    </row>
    <row r="530" spans="14:16" ht="12.75">
      <c r="N530" s="138"/>
      <c r="O530" s="138"/>
      <c r="P530" s="138"/>
    </row>
    <row r="531" spans="14:16" ht="12.75">
      <c r="N531" s="138"/>
      <c r="O531" s="138"/>
      <c r="P531" s="138"/>
    </row>
    <row r="532" spans="14:16" ht="12.75">
      <c r="N532" s="138"/>
      <c r="O532" s="138"/>
      <c r="P532" s="138"/>
    </row>
    <row r="533" spans="14:16" ht="12.75">
      <c r="N533" s="138"/>
      <c r="O533" s="138"/>
      <c r="P533" s="138"/>
    </row>
    <row r="534" spans="14:16" ht="12.75">
      <c r="N534" s="138"/>
      <c r="O534" s="138"/>
      <c r="P534" s="138"/>
    </row>
    <row r="535" spans="14:16" ht="12.75">
      <c r="N535" s="138"/>
      <c r="O535" s="138"/>
      <c r="P535" s="138"/>
    </row>
    <row r="536" spans="14:16" ht="12.75">
      <c r="N536" s="138"/>
      <c r="O536" s="138"/>
      <c r="P536" s="138"/>
    </row>
    <row r="537" spans="14:16" ht="12.75">
      <c r="N537" s="138"/>
      <c r="O537" s="138"/>
      <c r="P537" s="138"/>
    </row>
    <row r="538" spans="14:16" ht="12.75">
      <c r="N538" s="138"/>
      <c r="O538" s="138"/>
      <c r="P538" s="138"/>
    </row>
    <row r="539" spans="14:16" ht="12.75">
      <c r="N539" s="138"/>
      <c r="O539" s="138"/>
      <c r="P539" s="138"/>
    </row>
    <row r="540" spans="14:16" ht="12.75">
      <c r="N540" s="138"/>
      <c r="O540" s="138"/>
      <c r="P540" s="138"/>
    </row>
    <row r="541" spans="14:16" ht="12.75">
      <c r="N541" s="138"/>
      <c r="O541" s="138"/>
      <c r="P541" s="138"/>
    </row>
    <row r="542" spans="14:16" ht="12.75">
      <c r="N542" s="138"/>
      <c r="O542" s="138"/>
      <c r="P542" s="138"/>
    </row>
    <row r="543" spans="14:16" ht="12.75">
      <c r="N543" s="138"/>
      <c r="O543" s="138"/>
      <c r="P543" s="138"/>
    </row>
    <row r="544" spans="14:16" ht="12.75">
      <c r="N544" s="138"/>
      <c r="O544" s="138"/>
      <c r="P544" s="138"/>
    </row>
    <row r="545" spans="14:16" ht="12.75">
      <c r="N545" s="138"/>
      <c r="O545" s="138"/>
      <c r="P545" s="138"/>
    </row>
    <row r="546" spans="14:16" ht="12.75">
      <c r="N546" s="138"/>
      <c r="O546" s="138"/>
      <c r="P546" s="138"/>
    </row>
    <row r="547" spans="14:16" ht="12.75">
      <c r="N547" s="138"/>
      <c r="O547" s="138"/>
      <c r="P547" s="138"/>
    </row>
    <row r="548" spans="14:16" ht="12.75">
      <c r="N548" s="138"/>
      <c r="O548" s="138"/>
      <c r="P548" s="138"/>
    </row>
    <row r="549" spans="14:16" ht="12.75">
      <c r="N549" s="138"/>
      <c r="O549" s="138"/>
      <c r="P549" s="138"/>
    </row>
    <row r="550" spans="14:16" ht="12.75">
      <c r="N550" s="138"/>
      <c r="O550" s="138"/>
      <c r="P550" s="138"/>
    </row>
    <row r="551" spans="14:16" ht="12.75">
      <c r="N551" s="138"/>
      <c r="O551" s="138"/>
      <c r="P551" s="138"/>
    </row>
    <row r="552" spans="14:16" ht="12.75">
      <c r="N552" s="138"/>
      <c r="O552" s="138"/>
      <c r="P552" s="138"/>
    </row>
    <row r="553" spans="14:16" ht="12.75">
      <c r="N553" s="138"/>
      <c r="O553" s="138"/>
      <c r="P553" s="138"/>
    </row>
    <row r="554" spans="14:16" ht="12.75">
      <c r="N554" s="138"/>
      <c r="O554" s="138"/>
      <c r="P554" s="138"/>
    </row>
    <row r="555" spans="14:16" ht="12.75">
      <c r="N555" s="138"/>
      <c r="O555" s="138"/>
      <c r="P555" s="138"/>
    </row>
    <row r="556" spans="14:16" ht="12.75">
      <c r="N556" s="138"/>
      <c r="O556" s="138"/>
      <c r="P556" s="138"/>
    </row>
    <row r="557" spans="14:16" ht="12.75">
      <c r="N557" s="138"/>
      <c r="O557" s="138"/>
      <c r="P557" s="138"/>
    </row>
    <row r="558" spans="14:16" ht="12.75">
      <c r="N558" s="138"/>
      <c r="O558" s="138"/>
      <c r="P558" s="138"/>
    </row>
    <row r="559" spans="14:16" ht="12.75">
      <c r="N559" s="138"/>
      <c r="O559" s="138"/>
      <c r="P559" s="138"/>
    </row>
    <row r="560" spans="14:16" ht="12.75">
      <c r="N560" s="138"/>
      <c r="O560" s="138"/>
      <c r="P560" s="138"/>
    </row>
    <row r="561" spans="14:16" ht="12.75">
      <c r="N561" s="138"/>
      <c r="O561" s="138"/>
      <c r="P561" s="138"/>
    </row>
    <row r="562" spans="14:16" ht="12.75">
      <c r="N562" s="138"/>
      <c r="O562" s="138"/>
      <c r="P562" s="138"/>
    </row>
    <row r="563" spans="14:16" ht="12.75">
      <c r="N563" s="138"/>
      <c r="O563" s="138"/>
      <c r="P563" s="138"/>
    </row>
    <row r="564" spans="14:16" ht="12.75">
      <c r="N564" s="138"/>
      <c r="O564" s="138"/>
      <c r="P564" s="138"/>
    </row>
  </sheetData>
  <sheetProtection/>
  <mergeCells count="5">
    <mergeCell ref="J9:K9"/>
    <mergeCell ref="F6:G6"/>
    <mergeCell ref="D6:E6"/>
    <mergeCell ref="B65:G66"/>
    <mergeCell ref="B62:G63"/>
  </mergeCells>
  <printOptions horizontalCentered="1"/>
  <pageMargins left="0" right="0" top="0.5905511811023623" bottom="0.5905511811023623" header="0.2362204724409449" footer="0.2362204724409449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79"/>
  <sheetViews>
    <sheetView zoomScale="85" zoomScaleNormal="85" zoomScaleSheetLayoutView="100" zoomScalePageLayoutView="0" workbookViewId="0" topLeftCell="A1">
      <selection activeCell="E80" sqref="E79:G80"/>
    </sheetView>
  </sheetViews>
  <sheetFormatPr defaultColWidth="8.796875" defaultRowHeight="15"/>
  <cols>
    <col min="1" max="1" width="1.4921875" style="2" customWidth="1"/>
    <col min="2" max="2" width="2.59765625" style="2" customWidth="1"/>
    <col min="3" max="5" width="17.8984375" style="2" customWidth="1"/>
    <col min="6" max="7" width="12.59765625" style="2" customWidth="1"/>
    <col min="8" max="9" width="3.8984375" style="2" hidden="1" customWidth="1"/>
    <col min="10" max="10" width="12.69921875" style="5" hidden="1" customWidth="1"/>
    <col min="11" max="11" width="9.5" style="2" hidden="1" customWidth="1"/>
    <col min="12" max="12" width="5.59765625" style="2" hidden="1" customWidth="1"/>
    <col min="13" max="13" width="3.8984375" style="2" hidden="1" customWidth="1"/>
    <col min="14" max="14" width="9.8984375" style="2" hidden="1" customWidth="1"/>
    <col min="15" max="15" width="0" style="2" hidden="1" customWidth="1"/>
    <col min="16" max="16" width="9" style="2" customWidth="1"/>
    <col min="17" max="17" width="30.09765625" style="2" customWidth="1"/>
    <col min="18" max="18" width="9.8984375" style="2" bestFit="1" customWidth="1"/>
    <col min="19" max="19" width="11.69921875" style="2" bestFit="1" customWidth="1"/>
    <col min="20" max="20" width="9.09765625" style="2" bestFit="1" customWidth="1"/>
    <col min="21" max="16384" width="9" style="2" customWidth="1"/>
  </cols>
  <sheetData>
    <row r="1" spans="1:7" ht="12.75">
      <c r="A1" s="1" t="s">
        <v>0</v>
      </c>
      <c r="G1" s="3"/>
    </row>
    <row r="2" ht="12.75">
      <c r="G2" s="31"/>
    </row>
    <row r="3" spans="2:7" ht="12.75">
      <c r="B3" s="1" t="s">
        <v>27</v>
      </c>
      <c r="C3" s="3"/>
      <c r="D3" s="3"/>
      <c r="E3" s="3"/>
      <c r="F3" s="3"/>
      <c r="G3" s="80"/>
    </row>
    <row r="4" spans="2:7" ht="12.75">
      <c r="B4" s="1" t="s">
        <v>164</v>
      </c>
      <c r="C4" s="3"/>
      <c r="D4" s="3"/>
      <c r="E4" s="3"/>
      <c r="F4" s="3"/>
      <c r="G4" s="4"/>
    </row>
    <row r="5" spans="2:7" ht="12.75">
      <c r="B5" s="115" t="s">
        <v>74</v>
      </c>
      <c r="C5" s="3"/>
      <c r="D5" s="3"/>
      <c r="E5" s="3"/>
      <c r="F5" s="3"/>
      <c r="G5" s="4"/>
    </row>
    <row r="6" spans="2:14" ht="12.75">
      <c r="B6" s="1"/>
      <c r="C6" s="3"/>
      <c r="D6" s="3"/>
      <c r="E6" s="3"/>
      <c r="F6" s="4" t="s">
        <v>71</v>
      </c>
      <c r="G6" s="4" t="s">
        <v>92</v>
      </c>
      <c r="J6" s="5" t="s">
        <v>71</v>
      </c>
      <c r="N6" s="4" t="s">
        <v>71</v>
      </c>
    </row>
    <row r="7" spans="1:14" ht="12.75">
      <c r="A7" s="3"/>
      <c r="B7" s="3"/>
      <c r="C7" s="3"/>
      <c r="D7" s="3"/>
      <c r="E7" s="3"/>
      <c r="F7" s="4" t="s">
        <v>53</v>
      </c>
      <c r="G7" s="4" t="s">
        <v>53</v>
      </c>
      <c r="J7" s="5" t="s">
        <v>53</v>
      </c>
      <c r="N7" s="4" t="s">
        <v>53</v>
      </c>
    </row>
    <row r="8" spans="1:14" ht="12.75">
      <c r="A8" s="3"/>
      <c r="B8" s="3"/>
      <c r="C8" s="3"/>
      <c r="D8" s="3"/>
      <c r="E8" s="3"/>
      <c r="F8" s="4" t="s">
        <v>72</v>
      </c>
      <c r="G8" s="4" t="s">
        <v>54</v>
      </c>
      <c r="J8" s="5" t="s">
        <v>72</v>
      </c>
      <c r="N8" s="4" t="s">
        <v>72</v>
      </c>
    </row>
    <row r="9" spans="1:14" ht="12.75">
      <c r="A9" s="3"/>
      <c r="B9" s="3"/>
      <c r="C9" s="3"/>
      <c r="D9" s="3"/>
      <c r="E9" s="3"/>
      <c r="F9" s="4" t="s">
        <v>73</v>
      </c>
      <c r="G9" s="4" t="s">
        <v>55</v>
      </c>
      <c r="J9" s="5" t="s">
        <v>73</v>
      </c>
      <c r="N9" s="4" t="s">
        <v>73</v>
      </c>
    </row>
    <row r="10" spans="1:15" ht="12.75">
      <c r="A10" s="4"/>
      <c r="B10" s="3"/>
      <c r="C10" s="3"/>
      <c r="D10" s="3"/>
      <c r="E10" s="3"/>
      <c r="F10" s="4" t="s">
        <v>116</v>
      </c>
      <c r="G10" s="4" t="s">
        <v>56</v>
      </c>
      <c r="J10" s="5" t="s">
        <v>116</v>
      </c>
      <c r="K10" s="4" t="s">
        <v>161</v>
      </c>
      <c r="N10" s="4" t="s">
        <v>64</v>
      </c>
      <c r="O10" s="4" t="s">
        <v>162</v>
      </c>
    </row>
    <row r="11" spans="1:15" s="30" customFormat="1" ht="12.75">
      <c r="A11" s="28"/>
      <c r="B11" s="29"/>
      <c r="C11" s="29"/>
      <c r="D11" s="29"/>
      <c r="E11" s="29"/>
      <c r="F11" s="107">
        <v>40025</v>
      </c>
      <c r="G11" s="107">
        <v>39844</v>
      </c>
      <c r="J11" s="146">
        <v>39933</v>
      </c>
      <c r="K11" s="107" t="s">
        <v>115</v>
      </c>
      <c r="N11" s="107">
        <v>39844</v>
      </c>
      <c r="O11" s="107" t="s">
        <v>115</v>
      </c>
    </row>
    <row r="12" spans="1:15" ht="12.75">
      <c r="A12" s="4"/>
      <c r="B12" s="3"/>
      <c r="C12" s="3"/>
      <c r="D12" s="3"/>
      <c r="E12" s="3" t="s">
        <v>2</v>
      </c>
      <c r="F12" s="4" t="s">
        <v>5</v>
      </c>
      <c r="G12" s="4" t="s">
        <v>5</v>
      </c>
      <c r="J12" s="5" t="s">
        <v>5</v>
      </c>
      <c r="K12" s="4" t="s">
        <v>1</v>
      </c>
      <c r="N12" s="4" t="s">
        <v>1</v>
      </c>
      <c r="O12" s="4" t="s">
        <v>1</v>
      </c>
    </row>
    <row r="13" spans="1:7" ht="12.75">
      <c r="A13" s="4"/>
      <c r="B13" s="3"/>
      <c r="C13" s="3"/>
      <c r="D13" s="3"/>
      <c r="E13" s="3"/>
      <c r="F13" s="4"/>
      <c r="G13" s="4"/>
    </row>
    <row r="14" spans="1:2" ht="12.75">
      <c r="A14" s="5"/>
      <c r="B14" s="3" t="s">
        <v>8</v>
      </c>
    </row>
    <row r="15" spans="1:2" ht="12.75">
      <c r="A15" s="5"/>
      <c r="B15" s="3" t="s">
        <v>26</v>
      </c>
    </row>
    <row r="16" spans="1:15" ht="12.75">
      <c r="A16" s="5"/>
      <c r="C16" s="2" t="s">
        <v>23</v>
      </c>
      <c r="F16" s="2">
        <f>ROUND(+'[3]Financial_Stmts'!K12/1,0)</f>
        <v>125637</v>
      </c>
      <c r="G16" s="6">
        <v>128194</v>
      </c>
      <c r="J16" s="5">
        <v>126173</v>
      </c>
      <c r="K16" s="2">
        <f>+F16-J16</f>
        <v>-536</v>
      </c>
      <c r="N16" s="2">
        <v>128194</v>
      </c>
      <c r="O16" s="2">
        <f>F16-N16</f>
        <v>-2557</v>
      </c>
    </row>
    <row r="17" spans="1:15" ht="12.75">
      <c r="A17" s="5"/>
      <c r="C17" s="2" t="s">
        <v>24</v>
      </c>
      <c r="F17" s="2">
        <f>ROUND(+'[3]Financial_Stmts'!K13/1,0)</f>
        <v>1137148</v>
      </c>
      <c r="G17" s="6">
        <v>1131204</v>
      </c>
      <c r="J17" s="5">
        <v>1136149</v>
      </c>
      <c r="K17" s="2">
        <f aca="true" t="shared" si="0" ref="K17:K71">+F17-J17</f>
        <v>999</v>
      </c>
      <c r="N17" s="2">
        <v>1131204</v>
      </c>
      <c r="O17" s="129">
        <f aca="true" t="shared" si="1" ref="O17:O24">F17-N17</f>
        <v>5944</v>
      </c>
    </row>
    <row r="18" spans="1:15" ht="12.75">
      <c r="A18" s="5"/>
      <c r="C18" s="2" t="s">
        <v>25</v>
      </c>
      <c r="F18" s="2">
        <f>ROUND(+'[3]Financial_Stmts'!K14/1,0)</f>
        <v>190893</v>
      </c>
      <c r="G18" s="6">
        <v>191785</v>
      </c>
      <c r="J18" s="5">
        <v>191531</v>
      </c>
      <c r="K18" s="2">
        <f t="shared" si="0"/>
        <v>-638</v>
      </c>
      <c r="N18" s="2">
        <v>191785</v>
      </c>
      <c r="O18" s="2">
        <f t="shared" si="1"/>
        <v>-892</v>
      </c>
    </row>
    <row r="19" spans="1:15" ht="12.75">
      <c r="A19" s="5"/>
      <c r="C19" s="2" t="s">
        <v>139</v>
      </c>
      <c r="F19" s="2">
        <f>ROUND(+'[3]Financial_Stmts'!K15/1,0)</f>
        <v>10431</v>
      </c>
      <c r="G19" s="6">
        <v>10431</v>
      </c>
      <c r="J19" s="5">
        <v>10431</v>
      </c>
      <c r="K19" s="2">
        <f t="shared" si="0"/>
        <v>0</v>
      </c>
      <c r="N19" s="2">
        <v>10431</v>
      </c>
      <c r="O19" s="2">
        <f t="shared" si="1"/>
        <v>0</v>
      </c>
    </row>
    <row r="20" spans="1:15" ht="12.75">
      <c r="A20" s="5"/>
      <c r="C20" s="2" t="s">
        <v>93</v>
      </c>
      <c r="F20" s="2">
        <f>ROUND(+'[3]Financial_Stmts'!K18/1,0)</f>
        <v>10415</v>
      </c>
      <c r="G20" s="6">
        <v>9218</v>
      </c>
      <c r="J20" s="5">
        <v>9583</v>
      </c>
      <c r="K20" s="2">
        <f t="shared" si="0"/>
        <v>832</v>
      </c>
      <c r="N20" s="2">
        <v>9218</v>
      </c>
      <c r="O20" s="2">
        <f t="shared" si="1"/>
        <v>1197</v>
      </c>
    </row>
    <row r="21" spans="1:15" ht="12.75" hidden="1">
      <c r="A21" s="5"/>
      <c r="B21" s="9"/>
      <c r="C21" s="9" t="s">
        <v>95</v>
      </c>
      <c r="F21" s="128">
        <f>ROUND(+'[3]Financial_Stmts'!K19/1,0)</f>
        <v>0</v>
      </c>
      <c r="G21" s="6">
        <v>0</v>
      </c>
      <c r="J21" s="5">
        <v>0</v>
      </c>
      <c r="K21" s="2">
        <f t="shared" si="0"/>
        <v>0</v>
      </c>
      <c r="N21" s="2">
        <v>0</v>
      </c>
      <c r="O21" s="2">
        <f t="shared" si="1"/>
        <v>0</v>
      </c>
    </row>
    <row r="22" spans="1:14" ht="12.75">
      <c r="A22" s="5"/>
      <c r="B22" s="9"/>
      <c r="C22" s="9" t="s">
        <v>118</v>
      </c>
      <c r="F22" s="2">
        <f>ROUND(+'[3]Financial_Stmts'!K21/1,0)</f>
        <v>26203</v>
      </c>
      <c r="G22" s="6">
        <v>26186</v>
      </c>
      <c r="J22" s="5">
        <v>26165</v>
      </c>
      <c r="K22" s="2">
        <f t="shared" si="0"/>
        <v>38</v>
      </c>
      <c r="N22" s="2">
        <v>26186</v>
      </c>
    </row>
    <row r="23" spans="1:14" ht="12.75">
      <c r="A23" s="5"/>
      <c r="B23" s="9"/>
      <c r="C23" s="9" t="s">
        <v>119</v>
      </c>
      <c r="F23" s="6">
        <f>ROUND(+'[3]Financial_Stmts'!K22/1,0)</f>
        <v>185</v>
      </c>
      <c r="G23" s="6">
        <v>183</v>
      </c>
      <c r="J23" s="5">
        <v>185</v>
      </c>
      <c r="K23" s="2">
        <f t="shared" si="0"/>
        <v>0</v>
      </c>
      <c r="N23" s="2">
        <v>183</v>
      </c>
    </row>
    <row r="24" spans="1:15" ht="12.75">
      <c r="A24" s="5"/>
      <c r="C24" s="2" t="s">
        <v>94</v>
      </c>
      <c r="F24" s="2">
        <f>ROUND(+'[3]Financial_Stmts'!K23/1,0)</f>
        <v>8051</v>
      </c>
      <c r="G24" s="6">
        <v>8723</v>
      </c>
      <c r="J24" s="5">
        <v>8886</v>
      </c>
      <c r="K24" s="2">
        <f t="shared" si="0"/>
        <v>-835</v>
      </c>
      <c r="N24" s="2">
        <v>8723</v>
      </c>
      <c r="O24" s="2">
        <f t="shared" si="1"/>
        <v>-672</v>
      </c>
    </row>
    <row r="25" spans="1:14" ht="12.75">
      <c r="A25" s="5"/>
      <c r="C25" s="2" t="s">
        <v>129</v>
      </c>
      <c r="F25" s="2">
        <f>ROUND(+'[3]Financial_Stmts'!K25/1,0)</f>
        <v>39208</v>
      </c>
      <c r="G25" s="6">
        <v>39208</v>
      </c>
      <c r="J25" s="5">
        <v>39208</v>
      </c>
      <c r="K25" s="2">
        <f t="shared" si="0"/>
        <v>0</v>
      </c>
      <c r="N25" s="2">
        <v>39208</v>
      </c>
    </row>
    <row r="26" spans="1:14" ht="12.75">
      <c r="A26" s="5"/>
      <c r="C26" s="2" t="s">
        <v>97</v>
      </c>
      <c r="F26" s="11">
        <f>SUM(F16:F25)</f>
        <v>1548171</v>
      </c>
      <c r="G26" s="11">
        <f>SUM(G16:G25)</f>
        <v>1545132</v>
      </c>
      <c r="J26" s="5">
        <v>1548311</v>
      </c>
      <c r="K26" s="2">
        <f t="shared" si="0"/>
        <v>-140</v>
      </c>
      <c r="N26" s="11">
        <v>1545132</v>
      </c>
    </row>
    <row r="27" spans="1:11" ht="12.75">
      <c r="A27" s="5"/>
      <c r="G27" s="6"/>
      <c r="K27" s="2">
        <f t="shared" si="0"/>
        <v>0</v>
      </c>
    </row>
    <row r="28" spans="1:11" ht="12.75">
      <c r="A28" s="5"/>
      <c r="B28" s="3" t="s">
        <v>28</v>
      </c>
      <c r="G28" s="6"/>
      <c r="K28" s="2">
        <f t="shared" si="0"/>
        <v>0</v>
      </c>
    </row>
    <row r="29" spans="1:15" ht="12.75">
      <c r="A29" s="5"/>
      <c r="B29" s="3"/>
      <c r="C29" s="2" t="s">
        <v>20</v>
      </c>
      <c r="E29" s="2" t="s">
        <v>2</v>
      </c>
      <c r="F29" s="2">
        <f>ROUND(+'[3]Financial_Stmts'!K29/1,0)+2*0+1</f>
        <v>1195173</v>
      </c>
      <c r="G29" s="8">
        <v>1192159</v>
      </c>
      <c r="J29" s="5">
        <v>1193475</v>
      </c>
      <c r="K29" s="2">
        <f t="shared" si="0"/>
        <v>1698</v>
      </c>
      <c r="N29" s="2">
        <v>1192159</v>
      </c>
      <c r="O29" s="130">
        <f aca="true" t="shared" si="2" ref="O29:O34">F29-N29</f>
        <v>3014</v>
      </c>
    </row>
    <row r="30" spans="1:15" ht="12.75">
      <c r="A30" s="5"/>
      <c r="B30" s="3"/>
      <c r="C30" s="2" t="s">
        <v>3</v>
      </c>
      <c r="F30" s="2">
        <f>ROUND(+'[3]Financial_Stmts'!K30/1,0)</f>
        <v>69534</v>
      </c>
      <c r="G30" s="8">
        <v>68766</v>
      </c>
      <c r="J30" s="5">
        <v>70145</v>
      </c>
      <c r="K30" s="2">
        <f t="shared" si="0"/>
        <v>-611</v>
      </c>
      <c r="N30" s="2">
        <v>68766</v>
      </c>
      <c r="O30" s="2">
        <f t="shared" si="2"/>
        <v>768</v>
      </c>
    </row>
    <row r="31" spans="1:15" ht="12.75">
      <c r="A31" s="5"/>
      <c r="B31" s="3"/>
      <c r="C31" s="2" t="s">
        <v>91</v>
      </c>
      <c r="F31" s="2">
        <f>ROUND(+'[3]Financial_Stmts'!K31/1,0)</f>
        <v>403</v>
      </c>
      <c r="G31" s="8">
        <v>0</v>
      </c>
      <c r="J31" s="5">
        <v>68</v>
      </c>
      <c r="K31" s="2">
        <f t="shared" si="0"/>
        <v>335</v>
      </c>
      <c r="N31" s="2">
        <v>0</v>
      </c>
      <c r="O31" s="2">
        <f t="shared" si="2"/>
        <v>403</v>
      </c>
    </row>
    <row r="32" spans="1:15" ht="12.75">
      <c r="A32" s="5"/>
      <c r="B32" s="3"/>
      <c r="C32" s="2" t="s">
        <v>40</v>
      </c>
      <c r="F32" s="2">
        <f>ROUND(+'[3]Financial_Stmts'!K32/1,0)</f>
        <v>231534</v>
      </c>
      <c r="G32" s="8">
        <f>92883+124189</f>
        <v>217072</v>
      </c>
      <c r="J32" s="5">
        <v>245339</v>
      </c>
      <c r="K32" s="2">
        <f t="shared" si="0"/>
        <v>-13805</v>
      </c>
      <c r="N32" s="2">
        <v>217072</v>
      </c>
      <c r="O32" s="131">
        <f t="shared" si="2"/>
        <v>14462</v>
      </c>
    </row>
    <row r="33" spans="1:15" ht="12.75">
      <c r="A33" s="5"/>
      <c r="C33" s="2" t="s">
        <v>7</v>
      </c>
      <c r="F33" s="2">
        <f>ROUND(+'[3]Financial_Stmts'!K33/1,0)</f>
        <v>12624</v>
      </c>
      <c r="G33" s="8">
        <v>17517</v>
      </c>
      <c r="J33" s="5">
        <v>13933</v>
      </c>
      <c r="K33" s="2">
        <f t="shared" si="0"/>
        <v>-1309</v>
      </c>
      <c r="N33" s="2">
        <v>17517</v>
      </c>
      <c r="O33" s="132">
        <f t="shared" si="2"/>
        <v>-4893</v>
      </c>
    </row>
    <row r="34" spans="1:15" ht="12.75" hidden="1">
      <c r="A34" s="5"/>
      <c r="C34" s="2" t="s">
        <v>113</v>
      </c>
      <c r="F34" s="142">
        <f>ROUND(+'[3]Financial_Stmts'!K34/1,0)</f>
        <v>0</v>
      </c>
      <c r="G34" s="8">
        <v>0</v>
      </c>
      <c r="J34" s="5">
        <v>0</v>
      </c>
      <c r="K34" s="2">
        <f t="shared" si="0"/>
        <v>0</v>
      </c>
      <c r="N34" s="2">
        <v>0</v>
      </c>
      <c r="O34" s="2">
        <f t="shared" si="2"/>
        <v>0</v>
      </c>
    </row>
    <row r="35" spans="1:14" ht="12.75">
      <c r="A35" s="5"/>
      <c r="C35" s="2" t="s">
        <v>96</v>
      </c>
      <c r="E35" s="7"/>
      <c r="F35" s="11">
        <f>SUM(F29:F34)</f>
        <v>1509268</v>
      </c>
      <c r="G35" s="11">
        <f>SUM(G29:G34)</f>
        <v>1495514</v>
      </c>
      <c r="J35" s="5">
        <v>1522960</v>
      </c>
      <c r="K35" s="2">
        <f t="shared" si="0"/>
        <v>-13692</v>
      </c>
      <c r="N35" s="11">
        <v>1495514</v>
      </c>
    </row>
    <row r="36" spans="1:11" ht="12.75">
      <c r="A36" s="5"/>
      <c r="G36" s="8"/>
      <c r="K36" s="2">
        <f t="shared" si="0"/>
        <v>0</v>
      </c>
    </row>
    <row r="37" spans="1:14" ht="13.5" thickBot="1">
      <c r="A37" s="5"/>
      <c r="B37" s="3" t="s">
        <v>29</v>
      </c>
      <c r="F37" s="27">
        <f>+F26+F35</f>
        <v>3057439</v>
      </c>
      <c r="G37" s="27">
        <f>+G26+G35</f>
        <v>3040646</v>
      </c>
      <c r="J37" s="5">
        <v>3071271</v>
      </c>
      <c r="K37" s="2">
        <f t="shared" si="0"/>
        <v>-13832</v>
      </c>
      <c r="N37" s="27">
        <v>3040646</v>
      </c>
    </row>
    <row r="38" spans="1:11" ht="12.75">
      <c r="A38" s="5"/>
      <c r="G38" s="8"/>
      <c r="K38" s="2">
        <f t="shared" si="0"/>
        <v>0</v>
      </c>
    </row>
    <row r="39" spans="1:11" ht="12.75">
      <c r="A39" s="5"/>
      <c r="B39" s="3" t="s">
        <v>30</v>
      </c>
      <c r="G39" s="8"/>
      <c r="K39" s="2">
        <f t="shared" si="0"/>
        <v>0</v>
      </c>
    </row>
    <row r="40" spans="1:11" ht="12.75">
      <c r="A40" s="5"/>
      <c r="B40" s="3"/>
      <c r="C40" s="3" t="s">
        <v>98</v>
      </c>
      <c r="G40" s="8"/>
      <c r="K40" s="2">
        <f t="shared" si="0"/>
        <v>0</v>
      </c>
    </row>
    <row r="41" spans="1:15" ht="12.75">
      <c r="A41" s="5"/>
      <c r="C41" s="2" t="s">
        <v>31</v>
      </c>
      <c r="F41" s="2">
        <f>ROUND(+'[3]Financial_Stmts'!K41/1,0)</f>
        <v>643550</v>
      </c>
      <c r="G41" s="6">
        <v>386148</v>
      </c>
      <c r="J41" s="5">
        <v>386148</v>
      </c>
      <c r="K41" s="2">
        <f t="shared" si="0"/>
        <v>257402</v>
      </c>
      <c r="N41" s="2">
        <v>386148</v>
      </c>
      <c r="O41" s="2">
        <f>F41-N41</f>
        <v>257402</v>
      </c>
    </row>
    <row r="42" spans="1:15" ht="12.75">
      <c r="A42" s="5"/>
      <c r="C42" s="2" t="s">
        <v>32</v>
      </c>
      <c r="F42" s="2">
        <f>ROUND(+'[3]Financial_Stmts'!K42/1,0)</f>
        <v>-493</v>
      </c>
      <c r="G42" s="8">
        <v>-493</v>
      </c>
      <c r="J42" s="5">
        <v>-493</v>
      </c>
      <c r="K42" s="2">
        <f t="shared" si="0"/>
        <v>0</v>
      </c>
      <c r="N42" s="2">
        <v>-493</v>
      </c>
      <c r="O42" s="2">
        <f>F42-N42</f>
        <v>0</v>
      </c>
    </row>
    <row r="43" spans="1:15" ht="12.75">
      <c r="A43" s="5"/>
      <c r="C43" s="2" t="s">
        <v>10</v>
      </c>
      <c r="F43" s="56">
        <f>ROUND(+'[3]Financial_Stmts'!K43/1,0)+1</f>
        <v>74237</v>
      </c>
      <c r="G43" s="10">
        <v>5282</v>
      </c>
      <c r="J43" s="5">
        <v>8245</v>
      </c>
      <c r="K43" s="2">
        <f t="shared" si="0"/>
        <v>65992</v>
      </c>
      <c r="N43" s="56">
        <v>5282</v>
      </c>
      <c r="O43" s="133">
        <f>F43-N43</f>
        <v>68955</v>
      </c>
    </row>
    <row r="44" spans="1:14" ht="12.75">
      <c r="A44" s="5"/>
      <c r="C44" s="2" t="s">
        <v>83</v>
      </c>
      <c r="F44" s="8">
        <f>SUM(F41:F43)</f>
        <v>717294</v>
      </c>
      <c r="G44" s="8">
        <f>SUM(G41:G43)</f>
        <v>390937</v>
      </c>
      <c r="J44" s="5">
        <v>393900</v>
      </c>
      <c r="K44" s="2">
        <f t="shared" si="0"/>
        <v>323394</v>
      </c>
      <c r="N44" s="8">
        <v>390937</v>
      </c>
    </row>
    <row r="45" spans="1:15" ht="12.75">
      <c r="A45" s="5"/>
      <c r="B45" s="3"/>
      <c r="C45" s="3" t="s">
        <v>84</v>
      </c>
      <c r="F45" s="2">
        <f>ROUND(+'[3]Financial_Stmts'!K45/1,0)</f>
        <v>3563</v>
      </c>
      <c r="G45" s="8">
        <v>3563</v>
      </c>
      <c r="J45" s="5">
        <v>3558</v>
      </c>
      <c r="K45" s="2">
        <f t="shared" si="0"/>
        <v>5</v>
      </c>
      <c r="N45" s="2">
        <v>3563</v>
      </c>
      <c r="O45" s="2">
        <f>F45-N45</f>
        <v>0</v>
      </c>
    </row>
    <row r="46" spans="1:14" ht="12.75">
      <c r="A46" s="5"/>
      <c r="B46" s="3" t="s">
        <v>33</v>
      </c>
      <c r="C46" s="3"/>
      <c r="F46" s="11">
        <f>SUM(F44:F45)</f>
        <v>720857</v>
      </c>
      <c r="G46" s="11">
        <f>SUM(G44:G45)</f>
        <v>394500</v>
      </c>
      <c r="J46" s="5">
        <v>397458</v>
      </c>
      <c r="K46" s="2">
        <f t="shared" si="0"/>
        <v>323399</v>
      </c>
      <c r="N46" s="11">
        <v>394500</v>
      </c>
    </row>
    <row r="47" spans="1:11" ht="12.75">
      <c r="A47" s="5"/>
      <c r="G47" s="8"/>
      <c r="K47" s="2">
        <f t="shared" si="0"/>
        <v>0</v>
      </c>
    </row>
    <row r="48" spans="1:11" ht="12.75">
      <c r="A48" s="5"/>
      <c r="B48" s="3" t="s">
        <v>34</v>
      </c>
      <c r="G48" s="8"/>
      <c r="K48" s="2">
        <f t="shared" si="0"/>
        <v>0</v>
      </c>
    </row>
    <row r="49" spans="1:15" ht="12.75">
      <c r="A49" s="5"/>
      <c r="B49" s="3"/>
      <c r="C49" s="2" t="s">
        <v>170</v>
      </c>
      <c r="F49" s="2">
        <f>'[3]Financial_Stmts'!$K$49</f>
        <v>271939.13227999996</v>
      </c>
      <c r="G49" s="8">
        <v>0</v>
      </c>
      <c r="J49" s="49">
        <v>0</v>
      </c>
      <c r="K49" s="2">
        <f t="shared" si="0"/>
        <v>271939.13227999996</v>
      </c>
      <c r="N49" s="2">
        <v>0</v>
      </c>
      <c r="O49" s="2">
        <f>F49-N49</f>
        <v>271939.13227999996</v>
      </c>
    </row>
    <row r="50" spans="1:15" ht="12.75">
      <c r="A50" s="5"/>
      <c r="C50" s="2" t="s">
        <v>35</v>
      </c>
      <c r="F50" s="2">
        <f>ROUND(+'[3]Financial_Stmts'!K50/1,0)</f>
        <v>220073</v>
      </c>
      <c r="G50" s="8">
        <v>85858</v>
      </c>
      <c r="J50" s="5">
        <v>85859</v>
      </c>
      <c r="K50" s="2">
        <f t="shared" si="0"/>
        <v>134214</v>
      </c>
      <c r="N50" s="2">
        <v>85858</v>
      </c>
      <c r="O50" s="2">
        <f>F50-N50</f>
        <v>134215</v>
      </c>
    </row>
    <row r="51" spans="1:15" ht="12.75">
      <c r="A51" s="5"/>
      <c r="C51" s="2" t="s">
        <v>99</v>
      </c>
      <c r="F51" s="2">
        <f>ROUND(+'[3]Financial_Stmts'!K52/1,0)</f>
        <v>79005</v>
      </c>
      <c r="G51" s="8">
        <v>79625</v>
      </c>
      <c r="J51" s="5">
        <v>79488</v>
      </c>
      <c r="K51" s="2">
        <f t="shared" si="0"/>
        <v>-483</v>
      </c>
      <c r="N51" s="2">
        <v>79625</v>
      </c>
      <c r="O51" s="2">
        <f>F51-N51</f>
        <v>-620</v>
      </c>
    </row>
    <row r="52" spans="1:14" ht="12.75">
      <c r="A52" s="5"/>
      <c r="C52" s="9" t="s">
        <v>120</v>
      </c>
      <c r="F52" s="2">
        <f>ROUND(+'[3]Financial_Stmts'!K54/1,0)</f>
        <v>47671</v>
      </c>
      <c r="G52" s="8">
        <v>46178</v>
      </c>
      <c r="J52" s="5">
        <v>46608</v>
      </c>
      <c r="K52" s="2">
        <f t="shared" si="0"/>
        <v>1063</v>
      </c>
      <c r="N52" s="2">
        <v>46178</v>
      </c>
    </row>
    <row r="53" spans="1:15" ht="12.75">
      <c r="A53" s="5"/>
      <c r="C53" s="2" t="s">
        <v>21</v>
      </c>
      <c r="F53" s="2">
        <f>ROUND(+'[3]Financial_Stmts'!K55/1,0)</f>
        <v>25284</v>
      </c>
      <c r="G53" s="8">
        <v>4205</v>
      </c>
      <c r="J53" s="5">
        <v>4205</v>
      </c>
      <c r="K53" s="2">
        <f t="shared" si="0"/>
        <v>21079</v>
      </c>
      <c r="N53" s="2">
        <v>4205</v>
      </c>
      <c r="O53" s="2">
        <f>F53-N53</f>
        <v>21079</v>
      </c>
    </row>
    <row r="54" spans="1:14" ht="12.75">
      <c r="A54" s="5"/>
      <c r="C54" s="2" t="s">
        <v>127</v>
      </c>
      <c r="F54" s="11">
        <f>SUM(F49:F53)</f>
        <v>643972.13228</v>
      </c>
      <c r="G54" s="11">
        <f>SUM(G49:G53)</f>
        <v>215866</v>
      </c>
      <c r="J54" s="5">
        <v>216160</v>
      </c>
      <c r="K54" s="2">
        <f t="shared" si="0"/>
        <v>427812.13228</v>
      </c>
      <c r="N54" s="11">
        <v>215866</v>
      </c>
    </row>
    <row r="55" spans="1:14" ht="12.75">
      <c r="A55" s="5"/>
      <c r="F55" s="8"/>
      <c r="G55" s="8"/>
      <c r="K55" s="2">
        <f t="shared" si="0"/>
        <v>0</v>
      </c>
      <c r="N55" s="8"/>
    </row>
    <row r="56" spans="1:11" ht="12.75">
      <c r="A56" s="5"/>
      <c r="B56" s="3" t="s">
        <v>37</v>
      </c>
      <c r="G56" s="8"/>
      <c r="K56" s="2">
        <f t="shared" si="0"/>
        <v>0</v>
      </c>
    </row>
    <row r="57" spans="1:15" ht="12.75">
      <c r="A57" s="5"/>
      <c r="C57" s="2" t="s">
        <v>100</v>
      </c>
      <c r="F57" s="2">
        <f>ROUND(+'[3]Financial_Stmts'!K59/1,0)+1.5*0</f>
        <v>93316</v>
      </c>
      <c r="G57" s="8">
        <v>96312</v>
      </c>
      <c r="J57" s="5">
        <v>96040</v>
      </c>
      <c r="K57" s="2">
        <f t="shared" si="0"/>
        <v>-2724</v>
      </c>
      <c r="N57" s="2">
        <v>96312</v>
      </c>
      <c r="O57" s="134">
        <f aca="true" t="shared" si="3" ref="O57:O62">F57-N57</f>
        <v>-2996</v>
      </c>
    </row>
    <row r="58" spans="1:15" ht="12.75">
      <c r="A58" s="5"/>
      <c r="C58" s="2" t="s">
        <v>35</v>
      </c>
      <c r="F58" s="2">
        <f>ROUND(+'[3]Financial_Stmts'!K60/1,0)+1*0</f>
        <v>324520</v>
      </c>
      <c r="G58" s="8">
        <v>666573</v>
      </c>
      <c r="J58" s="5">
        <v>664392</v>
      </c>
      <c r="K58" s="2">
        <f t="shared" si="0"/>
        <v>-339872</v>
      </c>
      <c r="N58" s="2">
        <v>666573</v>
      </c>
      <c r="O58" s="135">
        <f t="shared" si="3"/>
        <v>-342053</v>
      </c>
    </row>
    <row r="59" spans="1:15" ht="12.75">
      <c r="A59" s="5"/>
      <c r="C59" s="2" t="s">
        <v>41</v>
      </c>
      <c r="F59" s="2">
        <f>ROUND(+'[3]Financial_Stmts'!K61/1,0)</f>
        <v>1092678</v>
      </c>
      <c r="G59" s="8">
        <f>288626+805472</f>
        <v>1094098</v>
      </c>
      <c r="J59" s="5">
        <v>1123966</v>
      </c>
      <c r="K59" s="2">
        <f t="shared" si="0"/>
        <v>-31288</v>
      </c>
      <c r="N59" s="2">
        <v>1094098</v>
      </c>
      <c r="O59" s="136">
        <f t="shared" si="3"/>
        <v>-1420</v>
      </c>
    </row>
    <row r="60" spans="1:15" ht="12.75">
      <c r="A60" s="5"/>
      <c r="C60" s="2" t="s">
        <v>36</v>
      </c>
      <c r="F60" s="2">
        <f>ROUND(+'[3]Financial_Stmts'!K62/1,0)-0.5*0</f>
        <v>0</v>
      </c>
      <c r="G60" s="8">
        <v>391613</v>
      </c>
      <c r="J60" s="5">
        <v>391612.5</v>
      </c>
      <c r="K60" s="2">
        <f t="shared" si="0"/>
        <v>-391612.5</v>
      </c>
      <c r="N60" s="2">
        <v>391613</v>
      </c>
      <c r="O60" s="2">
        <f t="shared" si="3"/>
        <v>-391613</v>
      </c>
    </row>
    <row r="61" spans="1:15" ht="12.75">
      <c r="A61" s="5"/>
      <c r="C61" s="2" t="s">
        <v>90</v>
      </c>
      <c r="F61" s="2">
        <f>ROUND(+'[3]Financial_Stmts'!K63/1,0)-1</f>
        <v>182096</v>
      </c>
      <c r="G61" s="8">
        <v>181684</v>
      </c>
      <c r="J61" s="5">
        <v>181642</v>
      </c>
      <c r="K61" s="2">
        <f t="shared" si="0"/>
        <v>454</v>
      </c>
      <c r="N61" s="2">
        <v>181684</v>
      </c>
      <c r="O61" s="2">
        <f t="shared" si="3"/>
        <v>412</v>
      </c>
    </row>
    <row r="62" spans="1:15" ht="12.75" hidden="1">
      <c r="A62" s="5"/>
      <c r="C62" s="2" t="s">
        <v>112</v>
      </c>
      <c r="F62" s="154">
        <f>ROUND(+'[3]Financial_Stmts'!$K$64,0)</f>
        <v>0</v>
      </c>
      <c r="G62" s="8">
        <v>0</v>
      </c>
      <c r="J62" s="5">
        <v>0</v>
      </c>
      <c r="K62" s="2">
        <f t="shared" si="0"/>
        <v>0</v>
      </c>
      <c r="N62" s="128">
        <v>0</v>
      </c>
      <c r="O62" s="137">
        <f t="shared" si="3"/>
        <v>0</v>
      </c>
    </row>
    <row r="63" spans="1:14" ht="12.75">
      <c r="A63" s="5"/>
      <c r="C63" s="2" t="s">
        <v>128</v>
      </c>
      <c r="F63" s="11">
        <f>SUM(F57:F62)</f>
        <v>1692610</v>
      </c>
      <c r="G63" s="11">
        <f>SUM(G57:G62)</f>
        <v>2430280</v>
      </c>
      <c r="J63" s="5">
        <v>2457652.5</v>
      </c>
      <c r="K63" s="2">
        <f t="shared" si="0"/>
        <v>-765042.5</v>
      </c>
      <c r="N63" s="11">
        <v>2430280</v>
      </c>
    </row>
    <row r="64" spans="1:14" ht="12.75">
      <c r="A64" s="5"/>
      <c r="B64" s="3" t="s">
        <v>38</v>
      </c>
      <c r="F64" s="11">
        <f>+F63+F54</f>
        <v>2336582.13228</v>
      </c>
      <c r="G64" s="11">
        <f>+G63+G54</f>
        <v>2646146</v>
      </c>
      <c r="J64" s="5">
        <v>2673812.5</v>
      </c>
      <c r="K64" s="2">
        <f t="shared" si="0"/>
        <v>-337230.36772</v>
      </c>
      <c r="N64" s="11">
        <v>2646146</v>
      </c>
    </row>
    <row r="65" spans="1:11" ht="12.75">
      <c r="A65" s="5"/>
      <c r="G65" s="6"/>
      <c r="K65" s="2">
        <f t="shared" si="0"/>
        <v>0</v>
      </c>
    </row>
    <row r="66" spans="1:14" ht="13.5" thickBot="1">
      <c r="A66" s="5"/>
      <c r="B66" s="3" t="s">
        <v>39</v>
      </c>
      <c r="F66" s="27">
        <f>+F46+F64</f>
        <v>3057439.13228</v>
      </c>
      <c r="G66" s="27">
        <f>+G46+G64</f>
        <v>3040646</v>
      </c>
      <c r="H66" s="145">
        <f>F37-F66</f>
        <v>-0.13228000001981854</v>
      </c>
      <c r="I66" s="144">
        <f>G37-G66</f>
        <v>0</v>
      </c>
      <c r="J66" s="147">
        <v>3071270.5</v>
      </c>
      <c r="K66" s="2">
        <f t="shared" si="0"/>
        <v>-13831.36771999998</v>
      </c>
      <c r="L66" s="144"/>
      <c r="M66" s="144"/>
      <c r="N66" s="27">
        <v>3040646</v>
      </c>
    </row>
    <row r="67" spans="1:11" ht="12.75">
      <c r="A67" s="5"/>
      <c r="K67" s="2">
        <f t="shared" si="0"/>
        <v>0</v>
      </c>
    </row>
    <row r="68" spans="7:11" ht="12.75">
      <c r="G68" s="7" t="s">
        <v>2</v>
      </c>
      <c r="K68" s="2">
        <f t="shared" si="0"/>
        <v>0</v>
      </c>
    </row>
    <row r="69" spans="2:11" ht="12.75">
      <c r="B69" s="2" t="s">
        <v>78</v>
      </c>
      <c r="K69" s="2">
        <f t="shared" si="0"/>
        <v>0</v>
      </c>
    </row>
    <row r="70" spans="3:14" ht="13.5" thickBot="1">
      <c r="C70" s="2" t="s">
        <v>82</v>
      </c>
      <c r="F70" s="81">
        <f>(+F44)/(1796077*0+2074482.417-2635.8)</f>
        <v>0.3462099916636831</v>
      </c>
      <c r="G70" s="81">
        <f>(+G44)/(628304.57)</f>
        <v>0.6222093848529544</v>
      </c>
      <c r="J70" s="5">
        <v>0.5834837394227453</v>
      </c>
      <c r="K70" s="2">
        <f t="shared" si="0"/>
        <v>-0.23727374775906224</v>
      </c>
      <c r="N70" s="81">
        <v>0.6222093848529544</v>
      </c>
    </row>
    <row r="71" ht="13.5" thickTop="1">
      <c r="K71" s="2">
        <f t="shared" si="0"/>
        <v>0</v>
      </c>
    </row>
    <row r="73" ht="12.75">
      <c r="D73" s="13"/>
    </row>
    <row r="74" spans="2:7" ht="12.75">
      <c r="B74" s="191" t="s">
        <v>138</v>
      </c>
      <c r="C74" s="189"/>
      <c r="D74" s="189"/>
      <c r="E74" s="189"/>
      <c r="F74" s="189"/>
      <c r="G74" s="189"/>
    </row>
    <row r="75" spans="2:7" ht="12.75">
      <c r="B75" s="189"/>
      <c r="C75" s="189"/>
      <c r="D75" s="189"/>
      <c r="E75" s="189"/>
      <c r="F75" s="189"/>
      <c r="G75" s="189"/>
    </row>
    <row r="77" spans="2:7" ht="12.75">
      <c r="B77" s="188"/>
      <c r="C77" s="188"/>
      <c r="D77" s="188"/>
      <c r="E77" s="188"/>
      <c r="F77" s="188"/>
      <c r="G77" s="188"/>
    </row>
    <row r="78" spans="2:7" ht="12.75">
      <c r="B78" s="188"/>
      <c r="C78" s="188"/>
      <c r="D78" s="188"/>
      <c r="E78" s="188"/>
      <c r="F78" s="188"/>
      <c r="G78" s="188"/>
    </row>
    <row r="79" spans="5:7" ht="12.75" hidden="1">
      <c r="E79" s="53" t="s">
        <v>22</v>
      </c>
      <c r="F79" s="155">
        <f>+F66-F37</f>
        <v>0.13228000001981854</v>
      </c>
      <c r="G79" s="82">
        <f>+G66-G37</f>
        <v>0</v>
      </c>
    </row>
    <row r="80" ht="12.75" hidden="1"/>
  </sheetData>
  <sheetProtection/>
  <mergeCells count="2">
    <mergeCell ref="B74:G75"/>
    <mergeCell ref="B77:G78"/>
  </mergeCells>
  <printOptions horizontalCentered="1" verticalCentered="1"/>
  <pageMargins left="0" right="0" top="0.5905511811023623" bottom="0.5905511811023623" header="0.15748031496062992" footer="0.275590551181102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T67"/>
  <sheetViews>
    <sheetView tabSelected="1" zoomScale="82" zoomScaleNormal="82" zoomScaleSheetLayoutView="82" zoomScalePageLayoutView="0" workbookViewId="0" topLeftCell="B4">
      <pane xSplit="3" ySplit="11" topLeftCell="E25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L67" sqref="L67:P67"/>
    </sheetView>
  </sheetViews>
  <sheetFormatPr defaultColWidth="11.296875" defaultRowHeight="15"/>
  <cols>
    <col min="1" max="1" width="1" style="13" customWidth="1"/>
    <col min="2" max="2" width="3.09765625" style="13" customWidth="1"/>
    <col min="3" max="3" width="1.8984375" style="13" customWidth="1"/>
    <col min="4" max="4" width="36.3984375" style="13" customWidth="1"/>
    <col min="5" max="5" width="14.3984375" style="19" customWidth="1"/>
    <col min="6" max="6" width="10.69921875" style="19" customWidth="1"/>
    <col min="7" max="7" width="10.59765625" style="19" customWidth="1"/>
    <col min="8" max="8" width="10.59765625" style="19" hidden="1" customWidth="1"/>
    <col min="9" max="9" width="10.59765625" style="19" customWidth="1"/>
    <col min="10" max="10" width="10.59765625" style="19" hidden="1" customWidth="1"/>
    <col min="11" max="11" width="10.59765625" style="19" customWidth="1"/>
    <col min="12" max="12" width="13.8984375" style="21" customWidth="1"/>
    <col min="13" max="13" width="11.59765625" style="21" customWidth="1"/>
    <col min="14" max="14" width="0.4921875" style="21" customWidth="1"/>
    <col min="15" max="15" width="10.59765625" style="21" customWidth="1"/>
    <col min="16" max="16" width="10.59765625" style="19" customWidth="1"/>
    <col min="17" max="16384" width="11.19921875" style="13" customWidth="1"/>
  </cols>
  <sheetData>
    <row r="1" spans="2:3" ht="12.75">
      <c r="B1" s="1" t="s">
        <v>0</v>
      </c>
      <c r="C1" s="1"/>
    </row>
    <row r="2" spans="12:15" ht="12.75">
      <c r="L2" s="32"/>
      <c r="M2" s="32"/>
      <c r="N2" s="32"/>
      <c r="O2" s="32"/>
    </row>
    <row r="3" spans="3:4" ht="12.75">
      <c r="C3" s="1" t="s">
        <v>67</v>
      </c>
      <c r="D3" s="1"/>
    </row>
    <row r="4" spans="3:4" ht="12.75">
      <c r="C4" s="1" t="str">
        <f>+'IS'!B4</f>
        <v>For the financial period ended 31 July 2009</v>
      </c>
      <c r="D4" s="1"/>
    </row>
    <row r="5" spans="3:4" ht="12.75">
      <c r="C5" s="74" t="s">
        <v>74</v>
      </c>
      <c r="D5" s="74"/>
    </row>
    <row r="6" spans="3:16" ht="12.75">
      <c r="C6" s="1"/>
      <c r="D6" s="1"/>
      <c r="E6" s="69"/>
      <c r="F6" s="69"/>
      <c r="G6" s="69"/>
      <c r="H6" s="69"/>
      <c r="I6" s="69"/>
      <c r="J6" s="69"/>
      <c r="K6" s="69"/>
      <c r="L6" s="69"/>
      <c r="M6" s="69"/>
      <c r="N6" s="69"/>
      <c r="O6" s="22"/>
      <c r="P6" s="14"/>
    </row>
    <row r="7" spans="3:4" ht="3" customHeight="1">
      <c r="C7" s="1"/>
      <c r="D7" s="1"/>
    </row>
    <row r="8" spans="6:16" ht="15.75" customHeight="1">
      <c r="F8" s="69"/>
      <c r="M8" s="70"/>
      <c r="N8" s="70"/>
      <c r="O8" s="70"/>
      <c r="P8" s="14"/>
    </row>
    <row r="9" spans="6:16" ht="15.75" customHeight="1">
      <c r="F9" s="69"/>
      <c r="G9" s="69"/>
      <c r="H9" s="116"/>
      <c r="I9" s="116"/>
      <c r="J9" s="116"/>
      <c r="K9" s="116"/>
      <c r="M9" s="22" t="s">
        <v>106</v>
      </c>
      <c r="N9" s="70"/>
      <c r="O9" s="70"/>
      <c r="P9" s="14"/>
    </row>
    <row r="10" spans="7:15" ht="12.75" customHeight="1">
      <c r="G10" s="192" t="s">
        <v>175</v>
      </c>
      <c r="H10" s="192"/>
      <c r="I10" s="192"/>
      <c r="J10" s="192"/>
      <c r="K10" s="192"/>
      <c r="L10" s="70" t="s">
        <v>9</v>
      </c>
      <c r="M10" s="22" t="s">
        <v>107</v>
      </c>
      <c r="N10" s="22"/>
      <c r="O10" s="22"/>
    </row>
    <row r="11" spans="5:16" ht="12.75">
      <c r="E11" s="14"/>
      <c r="F11" s="14"/>
      <c r="G11" s="14"/>
      <c r="H11" s="14"/>
      <c r="I11" s="14" t="s">
        <v>13</v>
      </c>
      <c r="J11" s="14" t="s">
        <v>124</v>
      </c>
      <c r="K11" s="14" t="s">
        <v>172</v>
      </c>
      <c r="L11" s="70" t="s">
        <v>68</v>
      </c>
      <c r="M11" s="14" t="s">
        <v>108</v>
      </c>
      <c r="N11" s="14"/>
      <c r="O11" s="14"/>
      <c r="P11" s="15"/>
    </row>
    <row r="12" spans="5:16" ht="12.75">
      <c r="E12" s="69" t="s">
        <v>11</v>
      </c>
      <c r="F12" s="69" t="s">
        <v>15</v>
      </c>
      <c r="G12" s="69" t="s">
        <v>12</v>
      </c>
      <c r="H12" s="69" t="s">
        <v>11</v>
      </c>
      <c r="I12" s="69" t="s">
        <v>17</v>
      </c>
      <c r="J12" s="69" t="s">
        <v>125</v>
      </c>
      <c r="K12" s="69" t="s">
        <v>173</v>
      </c>
      <c r="L12" s="14" t="s">
        <v>122</v>
      </c>
      <c r="M12" s="14" t="s">
        <v>109</v>
      </c>
      <c r="N12" s="14"/>
      <c r="O12" s="22" t="s">
        <v>69</v>
      </c>
      <c r="P12" s="14" t="s">
        <v>19</v>
      </c>
    </row>
    <row r="13" spans="3:16" ht="12.75">
      <c r="C13" s="23"/>
      <c r="D13" s="23"/>
      <c r="E13" s="71" t="s">
        <v>12</v>
      </c>
      <c r="F13" s="71" t="s">
        <v>18</v>
      </c>
      <c r="G13" s="71" t="s">
        <v>68</v>
      </c>
      <c r="H13" s="71" t="s">
        <v>16</v>
      </c>
      <c r="I13" s="71" t="s">
        <v>68</v>
      </c>
      <c r="J13" s="71" t="s">
        <v>126</v>
      </c>
      <c r="K13" s="71" t="s">
        <v>174</v>
      </c>
      <c r="L13" s="71" t="s">
        <v>123</v>
      </c>
      <c r="M13" s="71" t="s">
        <v>19</v>
      </c>
      <c r="N13" s="71"/>
      <c r="O13" s="72" t="s">
        <v>70</v>
      </c>
      <c r="P13" s="71" t="s">
        <v>14</v>
      </c>
    </row>
    <row r="14" spans="3:19" ht="12.75">
      <c r="C14" s="24"/>
      <c r="D14" s="24"/>
      <c r="E14" s="14" t="s">
        <v>5</v>
      </c>
      <c r="F14" s="14" t="s">
        <v>5</v>
      </c>
      <c r="G14" s="14" t="s">
        <v>5</v>
      </c>
      <c r="H14" s="14" t="s">
        <v>5</v>
      </c>
      <c r="I14" s="14" t="s">
        <v>5</v>
      </c>
      <c r="J14" s="14"/>
      <c r="K14" s="14" t="s">
        <v>5</v>
      </c>
      <c r="L14" s="14" t="s">
        <v>5</v>
      </c>
      <c r="M14" s="14" t="s">
        <v>5</v>
      </c>
      <c r="N14" s="14"/>
      <c r="O14" s="14" t="s">
        <v>5</v>
      </c>
      <c r="P14" s="14" t="s">
        <v>5</v>
      </c>
      <c r="S14" s="25"/>
    </row>
    <row r="15" spans="3:19" ht="12.75">
      <c r="C15" s="24"/>
      <c r="D15" s="2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S15" s="25"/>
    </row>
    <row r="16" spans="3:17" ht="12.75">
      <c r="C16" s="16" t="s">
        <v>121</v>
      </c>
      <c r="E16" s="117">
        <v>643015</v>
      </c>
      <c r="F16" s="117">
        <v>-844</v>
      </c>
      <c r="G16" s="117">
        <f>11201</f>
        <v>11201</v>
      </c>
      <c r="H16" s="117">
        <f>124551</f>
        <v>124551</v>
      </c>
      <c r="I16" s="117">
        <v>26346</v>
      </c>
      <c r="J16" s="117">
        <v>0</v>
      </c>
      <c r="K16" s="117">
        <v>0</v>
      </c>
      <c r="L16" s="117">
        <f>+-459809</f>
        <v>-459809</v>
      </c>
      <c r="M16" s="117">
        <f>SUM(E16:L16)</f>
        <v>344460</v>
      </c>
      <c r="N16" s="117"/>
      <c r="O16" s="117">
        <v>1783</v>
      </c>
      <c r="P16" s="117">
        <f>SUM(M16:O16)</f>
        <v>346243</v>
      </c>
      <c r="Q16" s="86"/>
    </row>
    <row r="17" spans="5:17" ht="12.75"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86"/>
    </row>
    <row r="18" spans="3:17" ht="12.75">
      <c r="C18" s="13" t="s">
        <v>87</v>
      </c>
      <c r="D18" s="16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86"/>
    </row>
    <row r="19" spans="4:17" ht="12.75">
      <c r="D19" s="13" t="s">
        <v>88</v>
      </c>
      <c r="E19" s="117">
        <v>0</v>
      </c>
      <c r="F19" s="117">
        <v>0</v>
      </c>
      <c r="G19" s="117">
        <v>0</v>
      </c>
      <c r="H19" s="117">
        <v>0</v>
      </c>
      <c r="I19" s="117">
        <v>-13193</v>
      </c>
      <c r="J19" s="117">
        <v>0</v>
      </c>
      <c r="K19" s="117">
        <v>0</v>
      </c>
      <c r="L19" s="120">
        <v>0</v>
      </c>
      <c r="M19" s="117">
        <f>SUM(E19:L19)</f>
        <v>-13193</v>
      </c>
      <c r="N19" s="120"/>
      <c r="O19" s="120">
        <v>0</v>
      </c>
      <c r="P19" s="117">
        <f>SUM(M19:O19)</f>
        <v>-13193</v>
      </c>
      <c r="Q19" s="86"/>
    </row>
    <row r="20" spans="5:17" ht="12.75">
      <c r="E20" s="117"/>
      <c r="F20" s="117"/>
      <c r="G20" s="117"/>
      <c r="H20" s="117"/>
      <c r="I20" s="117"/>
      <c r="J20" s="117"/>
      <c r="K20" s="117"/>
      <c r="L20" s="120"/>
      <c r="M20" s="117"/>
      <c r="N20" s="120"/>
      <c r="O20" s="120"/>
      <c r="P20" s="117"/>
      <c r="Q20" s="86"/>
    </row>
    <row r="21" spans="3:17" ht="12.75">
      <c r="C21" s="13" t="s">
        <v>111</v>
      </c>
      <c r="D21" s="16"/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59105</v>
      </c>
      <c r="M21" s="117">
        <f>SUM(E21:L21)</f>
        <v>59105</v>
      </c>
      <c r="N21" s="119"/>
      <c r="O21" s="119">
        <v>1610</v>
      </c>
      <c r="P21" s="117">
        <f>SUM(M21:O21)</f>
        <v>60715</v>
      </c>
      <c r="Q21" s="86"/>
    </row>
    <row r="22" spans="4:17" ht="12.75">
      <c r="D22" s="1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86"/>
    </row>
    <row r="23" spans="3:17" ht="12.75">
      <c r="C23" s="13" t="s">
        <v>110</v>
      </c>
      <c r="D23" s="16"/>
      <c r="E23" s="119">
        <f>SUM(E19:E22)</f>
        <v>0</v>
      </c>
      <c r="F23" s="119">
        <f aca="true" t="shared" si="0" ref="F23:P23">SUM(F19:F22)</f>
        <v>0</v>
      </c>
      <c r="G23" s="119">
        <f t="shared" si="0"/>
        <v>0</v>
      </c>
      <c r="H23" s="119">
        <f t="shared" si="0"/>
        <v>0</v>
      </c>
      <c r="I23" s="119">
        <f>SUM(I19:I22)</f>
        <v>-13193</v>
      </c>
      <c r="J23" s="119">
        <f t="shared" si="0"/>
        <v>0</v>
      </c>
      <c r="K23" s="119">
        <f>SUM(K19:K22)</f>
        <v>0</v>
      </c>
      <c r="L23" s="119">
        <f t="shared" si="0"/>
        <v>59105</v>
      </c>
      <c r="M23" s="119">
        <f t="shared" si="0"/>
        <v>45912</v>
      </c>
      <c r="N23" s="119">
        <f t="shared" si="0"/>
        <v>0</v>
      </c>
      <c r="O23" s="119">
        <f t="shared" si="0"/>
        <v>1610</v>
      </c>
      <c r="P23" s="119">
        <f t="shared" si="0"/>
        <v>47522</v>
      </c>
      <c r="Q23" s="86"/>
    </row>
    <row r="24" spans="3:17" ht="12.75">
      <c r="C24" s="16"/>
      <c r="D24" s="16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86"/>
    </row>
    <row r="25" spans="3:17" ht="12.75">
      <c r="C25" s="13" t="s">
        <v>140</v>
      </c>
      <c r="D25" s="16"/>
      <c r="E25" s="119">
        <v>-257432</v>
      </c>
      <c r="F25" s="119">
        <v>351</v>
      </c>
      <c r="G25" s="119">
        <v>0</v>
      </c>
      <c r="H25" s="119">
        <v>0</v>
      </c>
      <c r="I25" s="119">
        <v>0</v>
      </c>
      <c r="J25" s="119"/>
      <c r="K25" s="119">
        <v>0</v>
      </c>
      <c r="L25" s="119">
        <v>257081</v>
      </c>
      <c r="M25" s="117">
        <f>SUM(E25:L25)</f>
        <v>0</v>
      </c>
      <c r="N25" s="119"/>
      <c r="O25" s="119">
        <v>0</v>
      </c>
      <c r="P25" s="117">
        <f>SUM(M25:O25)</f>
        <v>0</v>
      </c>
      <c r="Q25" s="86"/>
    </row>
    <row r="26" spans="3:17" ht="12.75">
      <c r="C26" s="16"/>
      <c r="D26" s="16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86"/>
    </row>
    <row r="27" spans="3:17" ht="12.75">
      <c r="C27" s="13" t="s">
        <v>141</v>
      </c>
      <c r="D27" s="16"/>
      <c r="E27" s="119">
        <v>0</v>
      </c>
      <c r="F27" s="119">
        <v>0</v>
      </c>
      <c r="G27" s="119">
        <v>0</v>
      </c>
      <c r="H27" s="119">
        <v>-124551</v>
      </c>
      <c r="I27" s="119">
        <v>0</v>
      </c>
      <c r="J27" s="119"/>
      <c r="K27" s="119">
        <v>0</v>
      </c>
      <c r="L27" s="119">
        <v>124551</v>
      </c>
      <c r="M27" s="117">
        <f>SUM(E27:L27)</f>
        <v>0</v>
      </c>
      <c r="N27" s="119"/>
      <c r="O27" s="119">
        <v>0</v>
      </c>
      <c r="P27" s="117">
        <f>SUM(M27:O27)</f>
        <v>0</v>
      </c>
      <c r="Q27" s="86"/>
    </row>
    <row r="28" spans="3:17" ht="12.75">
      <c r="C28" s="16"/>
      <c r="D28" s="1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86"/>
    </row>
    <row r="29" spans="3:17" ht="12.75">
      <c r="C29" s="13" t="s">
        <v>142</v>
      </c>
      <c r="D29" s="16"/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/>
      <c r="K29" s="119">
        <v>0</v>
      </c>
      <c r="L29" s="119">
        <v>0</v>
      </c>
      <c r="M29" s="117">
        <f>SUM(E29:L29)</f>
        <v>0</v>
      </c>
      <c r="N29" s="119"/>
      <c r="O29" s="119">
        <v>170</v>
      </c>
      <c r="P29" s="117">
        <f>SUM(M29:O29)</f>
        <v>170</v>
      </c>
      <c r="Q29" s="86"/>
    </row>
    <row r="30" spans="3:17" ht="12.75">
      <c r="C30" s="16"/>
      <c r="D30" s="16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86"/>
    </row>
    <row r="31" spans="3:17" ht="12.75">
      <c r="C31" s="13" t="s">
        <v>131</v>
      </c>
      <c r="D31" s="16"/>
      <c r="E31" s="119">
        <v>565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7">
        <f>SUM(E31:L31)</f>
        <v>565</v>
      </c>
      <c r="N31" s="119"/>
      <c r="O31" s="119">
        <v>0</v>
      </c>
      <c r="P31" s="117">
        <f>SUM(M31:O31)</f>
        <v>565</v>
      </c>
      <c r="Q31" s="86"/>
    </row>
    <row r="32" spans="3:17" ht="12.75">
      <c r="C32" s="16"/>
      <c r="D32" s="16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86"/>
    </row>
    <row r="33" spans="3:17" s="16" customFormat="1" ht="12.75">
      <c r="C33" s="16" t="s">
        <v>143</v>
      </c>
      <c r="E33" s="151">
        <f>SUM(E31)+E16+E23+E25+E27+E29</f>
        <v>386148</v>
      </c>
      <c r="F33" s="151">
        <f aca="true" t="shared" si="1" ref="F33:P33">SUM(F31)+F16+F23+F25+F27+F29</f>
        <v>-493</v>
      </c>
      <c r="G33" s="151">
        <f t="shared" si="1"/>
        <v>11201</v>
      </c>
      <c r="H33" s="151">
        <f t="shared" si="1"/>
        <v>0</v>
      </c>
      <c r="I33" s="151">
        <f t="shared" si="1"/>
        <v>13153</v>
      </c>
      <c r="J33" s="151">
        <f t="shared" si="1"/>
        <v>0</v>
      </c>
      <c r="K33" s="151">
        <f t="shared" si="1"/>
        <v>0</v>
      </c>
      <c r="L33" s="151">
        <f t="shared" si="1"/>
        <v>-19072</v>
      </c>
      <c r="M33" s="151">
        <f t="shared" si="1"/>
        <v>390937</v>
      </c>
      <c r="N33" s="151">
        <f t="shared" si="1"/>
        <v>0</v>
      </c>
      <c r="O33" s="151">
        <f t="shared" si="1"/>
        <v>3563</v>
      </c>
      <c r="P33" s="151">
        <f t="shared" si="1"/>
        <v>394500</v>
      </c>
      <c r="Q33" s="152"/>
    </row>
    <row r="34" spans="4:17" ht="12.75">
      <c r="D34" s="1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86"/>
    </row>
    <row r="35" spans="5:17" ht="12.75" hidden="1">
      <c r="E35" s="117"/>
      <c r="F35" s="117"/>
      <c r="G35" s="117"/>
      <c r="H35" s="117"/>
      <c r="I35" s="117"/>
      <c r="J35" s="117"/>
      <c r="K35" s="117"/>
      <c r="L35" s="120"/>
      <c r="M35" s="120"/>
      <c r="N35" s="120"/>
      <c r="O35" s="120"/>
      <c r="P35" s="117"/>
      <c r="Q35" s="86"/>
    </row>
    <row r="36" spans="3:18" ht="13.5" hidden="1" thickBot="1">
      <c r="C36" s="16" t="s">
        <v>130</v>
      </c>
      <c r="D36" s="16"/>
      <c r="E36" s="124">
        <f>+E33</f>
        <v>386148</v>
      </c>
      <c r="F36" s="124">
        <f aca="true" t="shared" si="2" ref="F36:P36">+F33</f>
        <v>-493</v>
      </c>
      <c r="G36" s="124">
        <f t="shared" si="2"/>
        <v>11201</v>
      </c>
      <c r="H36" s="124">
        <f t="shared" si="2"/>
        <v>0</v>
      </c>
      <c r="I36" s="124">
        <f t="shared" si="2"/>
        <v>13153</v>
      </c>
      <c r="J36" s="124">
        <f t="shared" si="2"/>
        <v>0</v>
      </c>
      <c r="K36" s="124"/>
      <c r="L36" s="124">
        <f t="shared" si="2"/>
        <v>-19072</v>
      </c>
      <c r="M36" s="124">
        <f t="shared" si="2"/>
        <v>390937</v>
      </c>
      <c r="N36" s="124">
        <f t="shared" si="2"/>
        <v>0</v>
      </c>
      <c r="O36" s="124">
        <f t="shared" si="2"/>
        <v>3563</v>
      </c>
      <c r="P36" s="124">
        <f t="shared" si="2"/>
        <v>394500</v>
      </c>
      <c r="Q36" s="109"/>
      <c r="R36" s="110"/>
    </row>
    <row r="37" spans="5:18" ht="12.75">
      <c r="E37" s="119"/>
      <c r="F37" s="119"/>
      <c r="G37" s="119"/>
      <c r="H37" s="119"/>
      <c r="I37" s="119"/>
      <c r="J37" s="119"/>
      <c r="K37" s="119"/>
      <c r="L37" s="119"/>
      <c r="M37" s="119"/>
      <c r="N37" s="119">
        <v>0</v>
      </c>
      <c r="O37" s="119"/>
      <c r="P37" s="119"/>
      <c r="Q37" s="86"/>
      <c r="R37" s="86"/>
    </row>
    <row r="38" spans="3:20" ht="12.75">
      <c r="C38" s="3" t="s">
        <v>144</v>
      </c>
      <c r="D38" s="26"/>
      <c r="E38" s="117">
        <f>+E33</f>
        <v>386148</v>
      </c>
      <c r="F38" s="117">
        <f aca="true" t="shared" si="3" ref="F38:O38">+F33</f>
        <v>-493</v>
      </c>
      <c r="G38" s="117">
        <f t="shared" si="3"/>
        <v>11201</v>
      </c>
      <c r="H38" s="117">
        <f t="shared" si="3"/>
        <v>0</v>
      </c>
      <c r="I38" s="117">
        <f t="shared" si="3"/>
        <v>13153</v>
      </c>
      <c r="J38" s="117">
        <f t="shared" si="3"/>
        <v>0</v>
      </c>
      <c r="K38" s="117">
        <f>+K33</f>
        <v>0</v>
      </c>
      <c r="L38" s="117">
        <f t="shared" si="3"/>
        <v>-19072</v>
      </c>
      <c r="M38" s="117">
        <f>SUM(E38:L38)</f>
        <v>390937</v>
      </c>
      <c r="N38" s="117"/>
      <c r="O38" s="117">
        <f t="shared" si="3"/>
        <v>3563</v>
      </c>
      <c r="P38" s="117">
        <f>SUM(M38:O38)</f>
        <v>394500</v>
      </c>
      <c r="Q38" s="114"/>
      <c r="R38" s="17"/>
      <c r="S38" s="17"/>
      <c r="T38" s="17"/>
    </row>
    <row r="39" spans="3:17" ht="12.75">
      <c r="C39" s="2"/>
      <c r="D39" s="2"/>
      <c r="E39" s="117"/>
      <c r="F39" s="117"/>
      <c r="G39" s="117"/>
      <c r="H39" s="117"/>
      <c r="I39" s="117"/>
      <c r="J39" s="117"/>
      <c r="K39" s="117"/>
      <c r="L39" s="120"/>
      <c r="M39" s="120"/>
      <c r="N39" s="120"/>
      <c r="O39" s="120"/>
      <c r="P39" s="117"/>
      <c r="Q39" s="112"/>
    </row>
    <row r="40" spans="3:17" ht="12.75">
      <c r="C40" s="13" t="s">
        <v>114</v>
      </c>
      <c r="E40" s="126">
        <v>0</v>
      </c>
      <c r="F40" s="126">
        <v>0</v>
      </c>
      <c r="G40" s="126">
        <v>0</v>
      </c>
      <c r="H40" s="126">
        <v>0</v>
      </c>
      <c r="I40" s="125">
        <f>16434-I38</f>
        <v>3281</v>
      </c>
      <c r="J40" s="125">
        <v>0</v>
      </c>
      <c r="K40" s="125">
        <v>0</v>
      </c>
      <c r="L40" s="125">
        <f>0</f>
        <v>0</v>
      </c>
      <c r="M40" s="117">
        <f>SUM(E40:L40)</f>
        <v>3281</v>
      </c>
      <c r="N40" s="118"/>
      <c r="O40" s="118">
        <f>ROUND(-T45/1000,0)</f>
        <v>0</v>
      </c>
      <c r="P40" s="117">
        <f>SUM(M40:O40)</f>
        <v>3281</v>
      </c>
      <c r="Q40" s="112"/>
    </row>
    <row r="41" spans="5:17" ht="12.75">
      <c r="E41" s="126"/>
      <c r="F41" s="126"/>
      <c r="G41" s="126"/>
      <c r="H41" s="126"/>
      <c r="I41" s="125"/>
      <c r="J41" s="125"/>
      <c r="K41" s="125"/>
      <c r="L41" s="125"/>
      <c r="M41" s="117"/>
      <c r="N41" s="118"/>
      <c r="O41" s="118"/>
      <c r="P41" s="117"/>
      <c r="Q41" s="112"/>
    </row>
    <row r="42" spans="3:17" ht="12.75">
      <c r="C42" s="13" t="s">
        <v>165</v>
      </c>
      <c r="E42" s="126">
        <f>'BS'!F41-equity!E38</f>
        <v>257402</v>
      </c>
      <c r="F42" s="126">
        <v>0</v>
      </c>
      <c r="G42" s="126">
        <v>0</v>
      </c>
      <c r="H42" s="126">
        <v>0</v>
      </c>
      <c r="I42" s="125">
        <v>0</v>
      </c>
      <c r="J42" s="125"/>
      <c r="K42" s="125">
        <v>63238.08654</v>
      </c>
      <c r="L42" s="125">
        <v>0</v>
      </c>
      <c r="M42" s="117">
        <f>SUM(E42:L42)</f>
        <v>320640.08654</v>
      </c>
      <c r="N42" s="118"/>
      <c r="O42" s="118">
        <v>0</v>
      </c>
      <c r="P42" s="117">
        <f>SUM(M42:O42)</f>
        <v>320640.08654</v>
      </c>
      <c r="Q42" s="112"/>
    </row>
    <row r="43" spans="5:17" ht="12.75">
      <c r="E43" s="126"/>
      <c r="F43" s="126"/>
      <c r="G43" s="126"/>
      <c r="H43" s="126"/>
      <c r="I43" s="125"/>
      <c r="J43" s="125"/>
      <c r="K43" s="125"/>
      <c r="L43" s="125"/>
      <c r="M43" s="117"/>
      <c r="N43" s="118"/>
      <c r="O43" s="118"/>
      <c r="P43" s="117"/>
      <c r="Q43" s="112"/>
    </row>
    <row r="44" spans="3:17" ht="12.75">
      <c r="C44" s="13" t="s">
        <v>166</v>
      </c>
      <c r="E44" s="126">
        <v>0</v>
      </c>
      <c r="F44" s="126">
        <v>0</v>
      </c>
      <c r="G44" s="126">
        <v>0</v>
      </c>
      <c r="H44" s="126">
        <v>0</v>
      </c>
      <c r="I44" s="125">
        <v>0</v>
      </c>
      <c r="J44" s="125"/>
      <c r="K44" s="125">
        <v>0</v>
      </c>
      <c r="L44" s="125">
        <v>0</v>
      </c>
      <c r="M44" s="117">
        <f>SUM(E44:L44)</f>
        <v>0</v>
      </c>
      <c r="N44" s="118"/>
      <c r="O44" s="118">
        <f>6*0</f>
        <v>0</v>
      </c>
      <c r="P44" s="117">
        <f>SUM(M44:O44)</f>
        <v>0</v>
      </c>
      <c r="Q44" s="112"/>
    </row>
    <row r="45" spans="3:20" ht="12.75">
      <c r="C45" s="2"/>
      <c r="D45" s="2"/>
      <c r="E45" s="117"/>
      <c r="F45" s="117"/>
      <c r="G45" s="117"/>
      <c r="H45" s="117"/>
      <c r="I45" s="117"/>
      <c r="J45" s="117"/>
      <c r="K45" s="117"/>
      <c r="L45" s="120"/>
      <c r="M45" s="120"/>
      <c r="N45" s="120"/>
      <c r="O45" s="120"/>
      <c r="P45" s="117"/>
      <c r="R45" s="113"/>
      <c r="S45" s="140"/>
      <c r="T45" s="113"/>
    </row>
    <row r="46" spans="3:17" ht="12.75">
      <c r="C46" s="13" t="s">
        <v>111</v>
      </c>
      <c r="D46" s="2"/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20">
        <f>+'IS'!F45</f>
        <v>2436</v>
      </c>
      <c r="M46" s="117">
        <f>SUM(E46:L46)</f>
        <v>2436</v>
      </c>
      <c r="N46" s="120"/>
      <c r="O46" s="120">
        <f>+'IS'!F47</f>
        <v>0</v>
      </c>
      <c r="P46" s="117">
        <f>SUM(M46:O46)</f>
        <v>2436</v>
      </c>
      <c r="Q46" s="86"/>
    </row>
    <row r="47" spans="4:17" ht="12.75">
      <c r="D47" s="2"/>
      <c r="E47" s="121"/>
      <c r="F47" s="121"/>
      <c r="G47" s="121"/>
      <c r="H47" s="121"/>
      <c r="I47" s="121"/>
      <c r="J47" s="121"/>
      <c r="K47" s="121"/>
      <c r="L47" s="123"/>
      <c r="M47" s="121"/>
      <c r="N47" s="123"/>
      <c r="O47" s="123"/>
      <c r="P47" s="121"/>
      <c r="Q47" s="86"/>
    </row>
    <row r="48" spans="3:17" ht="12.75" hidden="1">
      <c r="C48" s="13" t="s">
        <v>110</v>
      </c>
      <c r="D48" s="2"/>
      <c r="E48" s="122">
        <f aca="true" t="shared" si="4" ref="E48:M48">SUM(E40:E47)</f>
        <v>257402</v>
      </c>
      <c r="F48" s="122">
        <f t="shared" si="4"/>
        <v>0</v>
      </c>
      <c r="G48" s="122">
        <f t="shared" si="4"/>
        <v>0</v>
      </c>
      <c r="H48" s="122">
        <f t="shared" si="4"/>
        <v>0</v>
      </c>
      <c r="I48" s="122">
        <f t="shared" si="4"/>
        <v>3281</v>
      </c>
      <c r="J48" s="122">
        <f t="shared" si="4"/>
        <v>0</v>
      </c>
      <c r="K48" s="122"/>
      <c r="L48" s="122">
        <f t="shared" si="4"/>
        <v>2436</v>
      </c>
      <c r="M48" s="122">
        <f t="shared" si="4"/>
        <v>326357.08654</v>
      </c>
      <c r="N48" s="122"/>
      <c r="O48" s="122">
        <f>SUM(O40:O47)</f>
        <v>0</v>
      </c>
      <c r="P48" s="122">
        <f>SUM(P40:P47)</f>
        <v>326357.08654</v>
      </c>
      <c r="Q48" s="86"/>
    </row>
    <row r="49" spans="4:17" ht="12.75" hidden="1">
      <c r="D49" s="2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86"/>
    </row>
    <row r="50" spans="3:17" ht="12.75" hidden="1">
      <c r="C50" s="2" t="s">
        <v>135</v>
      </c>
      <c r="D50" s="2"/>
      <c r="E50" s="117">
        <v>0</v>
      </c>
      <c r="F50" s="117">
        <v>0</v>
      </c>
      <c r="G50" s="117">
        <v>0</v>
      </c>
      <c r="H50" s="19">
        <v>0</v>
      </c>
      <c r="I50" s="117">
        <v>0</v>
      </c>
      <c r="J50" s="117">
        <v>0</v>
      </c>
      <c r="K50" s="117"/>
      <c r="L50" s="120">
        <v>0</v>
      </c>
      <c r="M50" s="117">
        <f>SUM(E50:L50)</f>
        <v>0</v>
      </c>
      <c r="N50" s="120"/>
      <c r="O50" s="117">
        <v>0</v>
      </c>
      <c r="P50" s="117">
        <f>SUM(M50:O50)</f>
        <v>0</v>
      </c>
      <c r="Q50" s="112"/>
    </row>
    <row r="51" spans="3:17" ht="12.75" hidden="1">
      <c r="C51" s="2"/>
      <c r="D51" s="2"/>
      <c r="E51" s="117"/>
      <c r="F51" s="117"/>
      <c r="G51" s="117"/>
      <c r="H51" s="117"/>
      <c r="I51" s="117"/>
      <c r="J51" s="117"/>
      <c r="K51" s="117"/>
      <c r="L51" s="120"/>
      <c r="M51" s="117"/>
      <c r="N51" s="120"/>
      <c r="O51" s="117"/>
      <c r="P51" s="117"/>
      <c r="Q51" s="112"/>
    </row>
    <row r="52" spans="3:17" ht="12.75" hidden="1">
      <c r="C52" s="2" t="s">
        <v>136</v>
      </c>
      <c r="D52" s="2"/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/>
      <c r="K52" s="117"/>
      <c r="L52" s="120">
        <v>0</v>
      </c>
      <c r="M52" s="117">
        <f>SUM(E52:L52)</f>
        <v>0</v>
      </c>
      <c r="N52" s="120"/>
      <c r="O52" s="117">
        <v>0</v>
      </c>
      <c r="P52" s="117">
        <f>SUM(M52:O52)</f>
        <v>0</v>
      </c>
      <c r="Q52" s="112"/>
    </row>
    <row r="53" spans="3:17" ht="12.75" hidden="1">
      <c r="C53" s="2"/>
      <c r="D53" s="2"/>
      <c r="E53" s="117"/>
      <c r="F53" s="117"/>
      <c r="G53" s="117"/>
      <c r="H53" s="117"/>
      <c r="I53" s="117"/>
      <c r="J53" s="117"/>
      <c r="K53" s="117"/>
      <c r="L53" s="120"/>
      <c r="M53" s="117"/>
      <c r="N53" s="120"/>
      <c r="O53" s="117"/>
      <c r="P53" s="117"/>
      <c r="Q53" s="112"/>
    </row>
    <row r="54" spans="3:17" ht="12.75" hidden="1">
      <c r="C54" s="2" t="s">
        <v>132</v>
      </c>
      <c r="D54" s="2"/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/>
      <c r="L54" s="117">
        <v>0</v>
      </c>
      <c r="M54" s="117">
        <f>SUM(E54:L54)</f>
        <v>0</v>
      </c>
      <c r="N54" s="120"/>
      <c r="O54" s="117">
        <v>0</v>
      </c>
      <c r="P54" s="117">
        <f>SUM(M54:O54)</f>
        <v>0</v>
      </c>
      <c r="Q54" s="112"/>
    </row>
    <row r="55" spans="3:17" ht="12.75" hidden="1">
      <c r="C55" s="2"/>
      <c r="D55" s="2"/>
      <c r="F55" s="117"/>
      <c r="G55" s="117"/>
      <c r="H55" s="117"/>
      <c r="I55" s="117"/>
      <c r="J55" s="117"/>
      <c r="K55" s="117"/>
      <c r="L55" s="117"/>
      <c r="M55" s="117"/>
      <c r="N55" s="120"/>
      <c r="O55" s="117"/>
      <c r="P55" s="117"/>
      <c r="Q55" s="112"/>
    </row>
    <row r="56" spans="3:17" ht="12.75" hidden="1">
      <c r="C56" s="2" t="s">
        <v>137</v>
      </c>
      <c r="D56" s="2"/>
      <c r="E56" s="19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/>
      <c r="L56" s="117">
        <v>0</v>
      </c>
      <c r="M56" s="117">
        <f>SUM(E56:L56)</f>
        <v>0</v>
      </c>
      <c r="N56" s="120"/>
      <c r="O56" s="117">
        <v>0</v>
      </c>
      <c r="P56" s="117">
        <f>SUM(M56:O56)</f>
        <v>0</v>
      </c>
      <c r="Q56" s="112"/>
    </row>
    <row r="57" spans="4:17" ht="12.75" hidden="1">
      <c r="D57" s="2"/>
      <c r="E57" s="119"/>
      <c r="F57" s="119"/>
      <c r="G57" s="119"/>
      <c r="H57" s="119"/>
      <c r="I57" s="119"/>
      <c r="J57" s="119"/>
      <c r="K57" s="119"/>
      <c r="L57" s="119"/>
      <c r="M57" s="119"/>
      <c r="N57" s="141"/>
      <c r="O57" s="119"/>
      <c r="P57" s="119"/>
      <c r="Q57" s="86"/>
    </row>
    <row r="58" spans="3:20" s="2" customFormat="1" ht="13.5" thickBot="1">
      <c r="C58" s="16" t="s">
        <v>171</v>
      </c>
      <c r="D58" s="3"/>
      <c r="E58" s="127">
        <f>E38+E48+E50+E54+E56+E52</f>
        <v>643550</v>
      </c>
      <c r="F58" s="127">
        <f aca="true" t="shared" si="5" ref="F58:O58">F38+F48+F50+F54+F56+F52</f>
        <v>-493</v>
      </c>
      <c r="G58" s="127">
        <f t="shared" si="5"/>
        <v>11201</v>
      </c>
      <c r="H58" s="127">
        <f t="shared" si="5"/>
        <v>0</v>
      </c>
      <c r="I58" s="127">
        <f t="shared" si="5"/>
        <v>16434</v>
      </c>
      <c r="J58" s="127">
        <f t="shared" si="5"/>
        <v>0</v>
      </c>
      <c r="K58" s="127">
        <f>K38+K48+K50+K54+K56+K52+K42</f>
        <v>63238.08654</v>
      </c>
      <c r="L58" s="127">
        <f t="shared" si="5"/>
        <v>-16636</v>
      </c>
      <c r="M58" s="127">
        <f t="shared" si="5"/>
        <v>717294.08654</v>
      </c>
      <c r="N58" s="127">
        <f t="shared" si="5"/>
        <v>0</v>
      </c>
      <c r="O58" s="127">
        <f t="shared" si="5"/>
        <v>3563</v>
      </c>
      <c r="P58" s="127">
        <f>P38+P48+P50+P54+P56+P52</f>
        <v>720857.08654</v>
      </c>
      <c r="Q58" s="86"/>
      <c r="R58" s="13"/>
      <c r="S58" s="13"/>
      <c r="T58" s="13"/>
    </row>
    <row r="59" spans="5:16" ht="12" customHeight="1"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5:16" ht="12.75" hidden="1">
      <c r="E60" s="108">
        <f>386147.6664-E58</f>
        <v>-257402.3336</v>
      </c>
      <c r="F60" s="108">
        <f>-492.84838-F58</f>
        <v>0.15161999999997988</v>
      </c>
      <c r="G60" s="108">
        <f>11201439.0552/1000-G58</f>
        <v>0.4390551999986201</v>
      </c>
      <c r="H60" s="108">
        <f>360.319999992847/1000-H58</f>
        <v>0.360319999992847</v>
      </c>
      <c r="I60" s="108">
        <f>13153479.0102488/1000-I58</f>
        <v>-3280.5209897511995</v>
      </c>
      <c r="J60" s="108"/>
      <c r="K60" s="108"/>
      <c r="L60" s="150">
        <f>-399484.743500546*0+-17853.32917-L58</f>
        <v>-1217.3291700000009</v>
      </c>
      <c r="M60" s="150"/>
      <c r="N60" s="111"/>
      <c r="O60" s="111"/>
      <c r="P60" s="108"/>
    </row>
    <row r="61" spans="5:16" ht="12.75" hidden="1">
      <c r="E61" s="108"/>
      <c r="F61" s="108"/>
      <c r="G61" s="108"/>
      <c r="H61" s="108"/>
      <c r="I61" s="108"/>
      <c r="J61" s="108"/>
      <c r="K61" s="108"/>
      <c r="L61" s="148"/>
      <c r="M61" s="108"/>
      <c r="N61" s="108"/>
      <c r="O61" s="108"/>
      <c r="P61" s="108"/>
    </row>
    <row r="63" spans="3:8" ht="12.75">
      <c r="C63" s="13" t="s">
        <v>145</v>
      </c>
      <c r="E63" s="13"/>
      <c r="F63" s="13"/>
      <c r="H63" s="13"/>
    </row>
    <row r="64" spans="3:8" ht="12.75">
      <c r="C64" s="64"/>
      <c r="D64" s="64"/>
      <c r="E64" s="13"/>
      <c r="F64" s="13"/>
      <c r="H64" s="13"/>
    </row>
    <row r="65" spans="5:7" ht="12.75">
      <c r="E65" s="19">
        <f>+E58-'BS'!F41</f>
        <v>0</v>
      </c>
      <c r="F65" s="19">
        <f>+F58-'BS'!F42</f>
        <v>0</v>
      </c>
      <c r="G65" s="19">
        <f>+G58+H58+I58+-'BS'!F43+L58+K58</f>
        <v>0.086539999996603</v>
      </c>
    </row>
    <row r="66" spans="13:15" ht="12.75">
      <c r="M66" s="153"/>
      <c r="N66" s="153"/>
      <c r="O66" s="153"/>
    </row>
    <row r="67" spans="12:16" ht="12.75" hidden="1">
      <c r="L67" s="53" t="s">
        <v>22</v>
      </c>
      <c r="M67" s="149">
        <f>+'BS'!F44-M58</f>
        <v>-0.0865400000475347</v>
      </c>
      <c r="N67" s="153"/>
      <c r="O67" s="149">
        <f>+'BS'!F45-equity!O58</f>
        <v>0</v>
      </c>
      <c r="P67" s="108">
        <f>+'BS'!F46-equity!P58</f>
        <v>-0.0865400000475347</v>
      </c>
    </row>
  </sheetData>
  <sheetProtection/>
  <mergeCells count="1">
    <mergeCell ref="G10:K10"/>
  </mergeCells>
  <printOptions horizontalCentered="1"/>
  <pageMargins left="0" right="0" top="0.5905511811023623" bottom="0.5905511811023623" header="0.2362204724409449" footer="0.2362204724409449"/>
  <pageSetup fitToHeight="1" fitToWidth="1" horizontalDpi="600" verticalDpi="600" orientation="landscape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="85" zoomScaleNormal="85" zoomScalePageLayoutView="0" workbookViewId="0" topLeftCell="A1">
      <selection activeCell="B14" sqref="B14"/>
    </sheetView>
  </sheetViews>
  <sheetFormatPr defaultColWidth="8.796875" defaultRowHeight="15"/>
  <cols>
    <col min="1" max="1" width="2.59765625" style="161" customWidth="1"/>
    <col min="2" max="2" width="2.59765625" style="163" customWidth="1"/>
    <col min="3" max="3" width="1.59765625" style="161" customWidth="1"/>
    <col min="4" max="4" width="25.59765625" style="161" customWidth="1"/>
    <col min="5" max="5" width="32.59765625" style="161" customWidth="1"/>
    <col min="6" max="6" width="16.59765625" style="161" customWidth="1"/>
    <col min="7" max="7" width="16.59765625" style="167" customWidth="1"/>
    <col min="8" max="8" width="12.59765625" style="162" customWidth="1"/>
    <col min="9" max="9" width="11.09765625" style="162" customWidth="1"/>
    <col min="10" max="10" width="11.09765625" style="161" customWidth="1"/>
    <col min="11" max="16384" width="9" style="161" customWidth="1"/>
  </cols>
  <sheetData>
    <row r="1" spans="1:7" ht="12.75">
      <c r="A1" s="1" t="s">
        <v>0</v>
      </c>
      <c r="B1" s="1"/>
      <c r="G1" s="161"/>
    </row>
    <row r="2" ht="13.5">
      <c r="G2" s="164"/>
    </row>
    <row r="3" spans="2:7" ht="13.5">
      <c r="B3" s="165" t="s">
        <v>147</v>
      </c>
      <c r="G3" s="166"/>
    </row>
    <row r="4" spans="2:7" ht="13.5">
      <c r="B4" s="1" t="str">
        <f>'IS'!B4</f>
        <v>For the financial period ended 31 July 2009</v>
      </c>
      <c r="G4" s="166"/>
    </row>
    <row r="5" ht="12.75">
      <c r="B5" s="74" t="s">
        <v>74</v>
      </c>
    </row>
    <row r="6" spans="2:7" ht="12.75">
      <c r="B6" s="74"/>
      <c r="F6" s="168" t="s">
        <v>62</v>
      </c>
      <c r="G6" s="168" t="s">
        <v>61</v>
      </c>
    </row>
    <row r="7" spans="2:7" ht="12.75">
      <c r="B7" s="74"/>
      <c r="F7" s="168" t="s">
        <v>63</v>
      </c>
      <c r="G7" s="168" t="s">
        <v>65</v>
      </c>
    </row>
    <row r="8" spans="2:7" ht="12.75">
      <c r="B8" s="74"/>
      <c r="F8" s="168" t="s">
        <v>66</v>
      </c>
      <c r="G8" s="168" t="s">
        <v>77</v>
      </c>
    </row>
    <row r="9" spans="2:9" s="169" customFormat="1" ht="12.75">
      <c r="B9" s="170"/>
      <c r="F9" s="168" t="s">
        <v>5</v>
      </c>
      <c r="G9" s="168" t="s">
        <v>5</v>
      </c>
      <c r="H9" s="171"/>
      <c r="I9" s="171"/>
    </row>
    <row r="10" spans="2:9" s="169" customFormat="1" ht="12.75">
      <c r="B10" s="172"/>
      <c r="F10" s="18"/>
      <c r="G10" s="173"/>
      <c r="H10" s="171"/>
      <c r="I10" s="171"/>
    </row>
    <row r="11" spans="2:8" ht="12.75">
      <c r="B11" s="161" t="s">
        <v>167</v>
      </c>
      <c r="F11" s="19">
        <f>221117.810957414*0+-54102</f>
        <v>-54102</v>
      </c>
      <c r="G11" s="174">
        <v>41192.4</v>
      </c>
      <c r="H11" s="175" t="s">
        <v>2</v>
      </c>
    </row>
    <row r="12" spans="2:7" ht="12.75">
      <c r="B12" s="161"/>
      <c r="F12" s="19"/>
      <c r="G12" s="174"/>
    </row>
    <row r="13" spans="2:8" ht="12.75">
      <c r="B13" s="161" t="s">
        <v>168</v>
      </c>
      <c r="F13" s="19">
        <v>-5218.875220000015</v>
      </c>
      <c r="G13" s="174">
        <v>-19915</v>
      </c>
      <c r="H13" s="176"/>
    </row>
    <row r="14" spans="2:7" ht="12.75">
      <c r="B14" s="161"/>
      <c r="F14" s="19"/>
      <c r="G14" s="174"/>
    </row>
    <row r="15" spans="2:7" ht="12.75">
      <c r="B15" s="161" t="s">
        <v>169</v>
      </c>
      <c r="F15" s="19">
        <f>-214277.859612633*0+57661.273</f>
        <v>57661.273</v>
      </c>
      <c r="G15" s="174">
        <v>-22530</v>
      </c>
    </row>
    <row r="16" spans="6:7" ht="12.75">
      <c r="F16" s="177"/>
      <c r="G16" s="178"/>
    </row>
    <row r="17" spans="2:7" ht="12.75">
      <c r="B17" s="161" t="s">
        <v>148</v>
      </c>
      <c r="F17" s="174">
        <f>SUM(F11:F16)</f>
        <v>-1659.6022200000152</v>
      </c>
      <c r="G17" s="174">
        <f>SUM(G11:G16)</f>
        <v>-1252.5999999999985</v>
      </c>
    </row>
    <row r="18" spans="2:7" ht="12.75">
      <c r="B18" s="161"/>
      <c r="F18" s="174"/>
      <c r="G18" s="174"/>
    </row>
    <row r="19" spans="2:7" ht="12.75">
      <c r="B19" s="161" t="s">
        <v>149</v>
      </c>
      <c r="F19" s="174">
        <f>+equity!P40</f>
        <v>3281</v>
      </c>
      <c r="G19" s="174">
        <v>-7545.4</v>
      </c>
    </row>
    <row r="20" spans="6:7" ht="12.75">
      <c r="F20" s="19"/>
      <c r="G20" s="174"/>
    </row>
    <row r="21" spans="2:7" ht="12.75">
      <c r="B21" s="161" t="s">
        <v>150</v>
      </c>
      <c r="F21" s="19">
        <v>11002.47</v>
      </c>
      <c r="G21" s="174">
        <v>14769</v>
      </c>
    </row>
    <row r="22" spans="6:7" ht="12.75">
      <c r="F22" s="19"/>
      <c r="G22" s="174"/>
    </row>
    <row r="23" spans="2:8" ht="12.75">
      <c r="B23" s="161" t="s">
        <v>151</v>
      </c>
      <c r="F23" s="179">
        <f>SUM(F17:F22)</f>
        <v>12623.867779999984</v>
      </c>
      <c r="G23" s="179">
        <f>SUM(G17:G22)</f>
        <v>5971.000000000002</v>
      </c>
      <c r="H23" s="180"/>
    </row>
    <row r="24" spans="6:7" ht="12.75">
      <c r="F24" s="19"/>
      <c r="G24" s="76"/>
    </row>
    <row r="25" spans="6:7" ht="12.75">
      <c r="F25" s="19"/>
      <c r="G25" s="75"/>
    </row>
    <row r="26" spans="2:7" ht="12.75">
      <c r="B26" s="161" t="s">
        <v>152</v>
      </c>
      <c r="F26" s="19"/>
      <c r="G26" s="75"/>
    </row>
    <row r="27" spans="3:7" ht="12.75">
      <c r="C27" s="161" t="s">
        <v>2</v>
      </c>
      <c r="F27" s="19"/>
      <c r="G27" s="75"/>
    </row>
    <row r="28" spans="3:7" ht="12.75">
      <c r="C28" s="161" t="s">
        <v>7</v>
      </c>
      <c r="F28" s="6">
        <f>12221678.3933927/1000</f>
        <v>12221.6783933927</v>
      </c>
      <c r="G28" s="75">
        <v>13068</v>
      </c>
    </row>
    <row r="29" spans="3:7" ht="12.75">
      <c r="C29" s="161" t="s">
        <v>153</v>
      </c>
      <c r="F29" s="10">
        <f>386.87491*0+401.87491</f>
        <v>401.87491</v>
      </c>
      <c r="G29" s="178">
        <v>334</v>
      </c>
    </row>
    <row r="30" spans="6:7" ht="12.75">
      <c r="F30" s="75">
        <f>SUM(F28:F29)</f>
        <v>12623.5533033927</v>
      </c>
      <c r="G30" s="75">
        <f>SUM(G26:G29)</f>
        <v>13402</v>
      </c>
    </row>
    <row r="31" spans="3:7" ht="12.75">
      <c r="C31" s="161" t="s">
        <v>154</v>
      </c>
      <c r="F31" s="10">
        <v>0</v>
      </c>
      <c r="G31" s="178">
        <v>-7431</v>
      </c>
    </row>
    <row r="32" spans="6:7" ht="12.75">
      <c r="F32" s="75">
        <f>SUM(F30:F31)</f>
        <v>12623.5533033927</v>
      </c>
      <c r="G32" s="75">
        <f>SUM(G30:G31)</f>
        <v>5971</v>
      </c>
    </row>
    <row r="33" spans="3:7" ht="12.75">
      <c r="C33" s="161" t="s">
        <v>155</v>
      </c>
      <c r="F33" s="6">
        <v>0</v>
      </c>
      <c r="G33" s="75">
        <v>0</v>
      </c>
    </row>
    <row r="34" spans="6:7" ht="13.5" thickBot="1">
      <c r="F34" s="181">
        <f>SUM(F32:F33)</f>
        <v>12623.5533033927</v>
      </c>
      <c r="G34" s="181">
        <f>SUM(G32:G33)</f>
        <v>5971</v>
      </c>
    </row>
    <row r="35" spans="3:7" ht="13.5" hidden="1" thickTop="1">
      <c r="C35" s="162" t="s">
        <v>155</v>
      </c>
      <c r="F35" s="8">
        <v>0</v>
      </c>
      <c r="G35" s="174">
        <v>0</v>
      </c>
    </row>
    <row r="36" spans="2:7" ht="12.75" hidden="1">
      <c r="B36" s="182"/>
      <c r="C36" s="162" t="s">
        <v>156</v>
      </c>
      <c r="D36" s="162"/>
      <c r="E36" s="162"/>
      <c r="F36" s="8">
        <f>-59563*0</f>
        <v>0</v>
      </c>
      <c r="G36" s="174">
        <v>0</v>
      </c>
    </row>
    <row r="37" spans="2:7" ht="13.5" hidden="1" thickBot="1">
      <c r="B37" s="182"/>
      <c r="C37" s="162"/>
      <c r="D37" s="162"/>
      <c r="E37" s="162"/>
      <c r="F37" s="181">
        <f>SUM(F34:F36)</f>
        <v>12623.5533033927</v>
      </c>
      <c r="G37" s="181">
        <f>SUM(G34:G36)</f>
        <v>5971</v>
      </c>
    </row>
    <row r="38" spans="2:7" ht="13.5" thickTop="1">
      <c r="B38" s="182"/>
      <c r="C38" s="162"/>
      <c r="D38" s="162"/>
      <c r="E38" s="162"/>
      <c r="F38" s="20"/>
      <c r="G38" s="183"/>
    </row>
    <row r="39" spans="2:7" ht="12.75">
      <c r="B39" s="182"/>
      <c r="C39" s="162"/>
      <c r="D39" s="162"/>
      <c r="E39" s="162"/>
      <c r="F39" s="162"/>
      <c r="G39" s="184"/>
    </row>
    <row r="40" spans="2:7" ht="12.75">
      <c r="B40" s="193" t="s">
        <v>157</v>
      </c>
      <c r="C40" s="194"/>
      <c r="D40" s="194"/>
      <c r="E40" s="194"/>
      <c r="F40" s="194"/>
      <c r="G40" s="194"/>
    </row>
    <row r="41" spans="2:7" ht="12.75">
      <c r="B41" s="194"/>
      <c r="C41" s="194"/>
      <c r="D41" s="194"/>
      <c r="E41" s="194"/>
      <c r="F41" s="194"/>
      <c r="G41" s="194"/>
    </row>
    <row r="42" spans="2:7" ht="12.75">
      <c r="B42" s="182"/>
      <c r="C42" s="162"/>
      <c r="D42" s="162"/>
      <c r="E42" s="162"/>
      <c r="F42" s="162"/>
      <c r="G42" s="184"/>
    </row>
    <row r="43" spans="2:7" ht="12.75">
      <c r="B43" s="13"/>
      <c r="C43" s="162"/>
      <c r="D43" s="162"/>
      <c r="E43" s="162"/>
      <c r="F43" s="162"/>
      <c r="G43" s="184"/>
    </row>
    <row r="44" spans="2:7" ht="12.75">
      <c r="B44" s="64"/>
      <c r="C44" s="162"/>
      <c r="D44" s="162"/>
      <c r="E44" s="162"/>
      <c r="F44" s="162"/>
      <c r="G44" s="184"/>
    </row>
  </sheetData>
  <sheetProtection/>
  <mergeCells count="1">
    <mergeCell ref="B40:G41"/>
  </mergeCells>
  <printOptions/>
  <pageMargins left="0.57" right="0.4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92">
      <selection activeCell="H100" sqref="H100:I100"/>
    </sheetView>
  </sheetViews>
  <sheetFormatPr defaultColWidth="8.796875" defaultRowHeight="15"/>
  <cols>
    <col min="1" max="1" width="3.59765625" style="0" customWidth="1"/>
    <col min="2" max="2" width="1.1015625" style="0" customWidth="1"/>
    <col min="3" max="3" width="6.69921875" style="0" customWidth="1"/>
    <col min="4" max="4" width="7.8984375" style="0" customWidth="1"/>
    <col min="5" max="6" width="7" style="0" customWidth="1"/>
    <col min="7" max="8" width="13.09765625" style="0" bestFit="1" customWidth="1"/>
    <col min="9" max="9" width="13" style="0" customWidth="1"/>
    <col min="10" max="10" width="1.203125" style="0" customWidth="1"/>
    <col min="11" max="11" width="11.09765625" style="0" bestFit="1" customWidth="1"/>
    <col min="12" max="12" width="13" style="0" customWidth="1"/>
  </cols>
  <sheetData>
    <row r="1" ht="15.75">
      <c r="A1" s="62" t="s">
        <v>0</v>
      </c>
    </row>
    <row r="2" ht="15.75">
      <c r="A2" s="62"/>
    </row>
    <row r="3" spans="1:9" ht="15.75">
      <c r="A3" s="63" t="s">
        <v>79</v>
      </c>
      <c r="D3" s="54"/>
      <c r="E3" s="54"/>
      <c r="F3" s="54"/>
      <c r="G3" s="54"/>
      <c r="H3" s="54"/>
      <c r="I3" s="54"/>
    </row>
    <row r="4" spans="1:9" ht="15.75">
      <c r="A4" s="63"/>
      <c r="D4" s="54"/>
      <c r="E4" s="54"/>
      <c r="F4" s="54"/>
      <c r="G4" s="54"/>
      <c r="H4" s="54"/>
      <c r="I4" s="54"/>
    </row>
    <row r="5" spans="1:12" ht="15.75">
      <c r="A5" s="63"/>
      <c r="D5" s="54"/>
      <c r="E5" s="54"/>
      <c r="F5" s="54"/>
      <c r="G5" s="54" t="s">
        <v>19</v>
      </c>
      <c r="H5" s="54" t="s">
        <v>47</v>
      </c>
      <c r="I5" s="54" t="s">
        <v>44</v>
      </c>
      <c r="K5" s="54" t="s">
        <v>47</v>
      </c>
      <c r="L5" s="77" t="s">
        <v>44</v>
      </c>
    </row>
    <row r="6" spans="4:12" ht="15.75">
      <c r="D6" s="54" t="s">
        <v>45</v>
      </c>
      <c r="E6" s="54" t="s">
        <v>57</v>
      </c>
      <c r="F6" s="54" t="s">
        <v>57</v>
      </c>
      <c r="G6" s="54" t="s">
        <v>46</v>
      </c>
      <c r="H6" s="60" t="s">
        <v>48</v>
      </c>
      <c r="I6" s="54" t="s">
        <v>46</v>
      </c>
      <c r="K6" s="60" t="s">
        <v>80</v>
      </c>
      <c r="L6" s="77" t="s">
        <v>46</v>
      </c>
    </row>
    <row r="7" spans="4:12" ht="15.75">
      <c r="D7" s="54"/>
      <c r="E7" s="54" t="s">
        <v>58</v>
      </c>
      <c r="F7" s="54" t="s">
        <v>59</v>
      </c>
      <c r="G7" s="54" t="s">
        <v>42</v>
      </c>
      <c r="H7" s="54" t="s">
        <v>42</v>
      </c>
      <c r="I7" s="54" t="s">
        <v>42</v>
      </c>
      <c r="K7" s="54" t="s">
        <v>42</v>
      </c>
      <c r="L7" s="77" t="s">
        <v>42</v>
      </c>
    </row>
    <row r="8" spans="1:4" ht="15.75">
      <c r="A8">
        <v>0</v>
      </c>
      <c r="C8" s="55" t="s">
        <v>43</v>
      </c>
      <c r="D8" s="57">
        <v>2003</v>
      </c>
    </row>
    <row r="9" spans="1:12" ht="15.75">
      <c r="A9">
        <v>1</v>
      </c>
      <c r="C9" s="55" t="s">
        <v>43</v>
      </c>
      <c r="D9" s="57">
        <f aca="true" t="shared" si="0" ref="D9:D40">+D8+1</f>
        <v>2004</v>
      </c>
      <c r="E9">
        <v>1</v>
      </c>
      <c r="F9">
        <v>12</v>
      </c>
      <c r="G9" s="59">
        <f>ROUND((82660)/1083*12,0)</f>
        <v>916</v>
      </c>
      <c r="H9" s="61">
        <f>+G9</f>
        <v>916</v>
      </c>
      <c r="K9" s="61">
        <f>+H9</f>
        <v>916</v>
      </c>
      <c r="L9" s="61">
        <f aca="true" t="shared" si="1" ref="L9:L40">+G9-K9</f>
        <v>0</v>
      </c>
    </row>
    <row r="10" spans="1:12" ht="15.75">
      <c r="A10">
        <f aca="true" t="shared" si="2" ref="A10:A41">+A9+1</f>
        <v>2</v>
      </c>
      <c r="C10" s="55" t="s">
        <v>43</v>
      </c>
      <c r="D10" s="57">
        <f t="shared" si="0"/>
        <v>2005</v>
      </c>
      <c r="E10">
        <v>1</v>
      </c>
      <c r="F10">
        <v>12</v>
      </c>
      <c r="G10" s="59">
        <f aca="true" t="shared" si="3" ref="G10:G73">ROUND((82660)/1083*12,0)</f>
        <v>916</v>
      </c>
      <c r="H10" s="61">
        <f>+G10</f>
        <v>916</v>
      </c>
      <c r="K10" s="61">
        <f>+H10</f>
        <v>916</v>
      </c>
      <c r="L10" s="61">
        <f t="shared" si="1"/>
        <v>0</v>
      </c>
    </row>
    <row r="11" spans="1:12" ht="15.75">
      <c r="A11">
        <f t="shared" si="2"/>
        <v>3</v>
      </c>
      <c r="C11" s="55" t="s">
        <v>43</v>
      </c>
      <c r="D11" s="57">
        <f t="shared" si="0"/>
        <v>2006</v>
      </c>
      <c r="E11">
        <v>1</v>
      </c>
      <c r="F11">
        <v>12</v>
      </c>
      <c r="G11" s="59">
        <f t="shared" si="3"/>
        <v>916</v>
      </c>
      <c r="H11" s="61">
        <f>+G11</f>
        <v>916</v>
      </c>
      <c r="K11" s="61">
        <f>ROUND(+K10/12*3,0)</f>
        <v>229</v>
      </c>
      <c r="L11" s="61">
        <f t="shared" si="1"/>
        <v>687</v>
      </c>
    </row>
    <row r="12" spans="1:12" ht="15.75">
      <c r="A12">
        <f t="shared" si="2"/>
        <v>4</v>
      </c>
      <c r="C12" s="55" t="s">
        <v>43</v>
      </c>
      <c r="D12" s="57">
        <f t="shared" si="0"/>
        <v>2007</v>
      </c>
      <c r="E12">
        <v>1</v>
      </c>
      <c r="F12">
        <v>12</v>
      </c>
      <c r="G12" s="59">
        <f t="shared" si="3"/>
        <v>916</v>
      </c>
      <c r="H12" s="61"/>
      <c r="I12" s="61">
        <f aca="true" t="shared" si="4" ref="I12:I43">+G12</f>
        <v>916</v>
      </c>
      <c r="L12" s="61">
        <f t="shared" si="1"/>
        <v>916</v>
      </c>
    </row>
    <row r="13" spans="1:12" ht="15.75">
      <c r="A13">
        <f t="shared" si="2"/>
        <v>5</v>
      </c>
      <c r="C13" s="55" t="s">
        <v>43</v>
      </c>
      <c r="D13" s="57">
        <f t="shared" si="0"/>
        <v>2008</v>
      </c>
      <c r="E13">
        <v>1</v>
      </c>
      <c r="F13">
        <v>12</v>
      </c>
      <c r="G13" s="59">
        <f t="shared" si="3"/>
        <v>916</v>
      </c>
      <c r="H13" s="61"/>
      <c r="I13" s="61">
        <f t="shared" si="4"/>
        <v>916</v>
      </c>
      <c r="L13" s="61">
        <f t="shared" si="1"/>
        <v>916</v>
      </c>
    </row>
    <row r="14" spans="1:12" ht="15.75">
      <c r="A14">
        <f t="shared" si="2"/>
        <v>6</v>
      </c>
      <c r="C14" s="55" t="s">
        <v>43</v>
      </c>
      <c r="D14" s="57">
        <f t="shared" si="0"/>
        <v>2009</v>
      </c>
      <c r="E14">
        <v>1</v>
      </c>
      <c r="F14">
        <v>12</v>
      </c>
      <c r="G14" s="59">
        <f t="shared" si="3"/>
        <v>916</v>
      </c>
      <c r="H14" s="61"/>
      <c r="I14" s="61">
        <f t="shared" si="4"/>
        <v>916</v>
      </c>
      <c r="L14" s="61">
        <f t="shared" si="1"/>
        <v>916</v>
      </c>
    </row>
    <row r="15" spans="1:12" ht="15.75">
      <c r="A15">
        <f t="shared" si="2"/>
        <v>7</v>
      </c>
      <c r="C15" s="55" t="s">
        <v>43</v>
      </c>
      <c r="D15" s="57">
        <f t="shared" si="0"/>
        <v>2010</v>
      </c>
      <c r="E15">
        <v>1</v>
      </c>
      <c r="F15">
        <v>12</v>
      </c>
      <c r="G15" s="59">
        <f t="shared" si="3"/>
        <v>916</v>
      </c>
      <c r="H15" s="61"/>
      <c r="I15" s="61">
        <f t="shared" si="4"/>
        <v>916</v>
      </c>
      <c r="L15" s="61">
        <f t="shared" si="1"/>
        <v>916</v>
      </c>
    </row>
    <row r="16" spans="1:12" ht="15.75">
      <c r="A16">
        <f t="shared" si="2"/>
        <v>8</v>
      </c>
      <c r="C16" s="55" t="s">
        <v>43</v>
      </c>
      <c r="D16" s="57">
        <f t="shared" si="0"/>
        <v>2011</v>
      </c>
      <c r="E16">
        <v>1</v>
      </c>
      <c r="F16">
        <v>12</v>
      </c>
      <c r="G16" s="59">
        <f t="shared" si="3"/>
        <v>916</v>
      </c>
      <c r="H16" s="61"/>
      <c r="I16" s="61">
        <f t="shared" si="4"/>
        <v>916</v>
      </c>
      <c r="L16" s="61">
        <f t="shared" si="1"/>
        <v>916</v>
      </c>
    </row>
    <row r="17" spans="1:12" ht="15.75">
      <c r="A17">
        <f t="shared" si="2"/>
        <v>9</v>
      </c>
      <c r="C17" s="55" t="s">
        <v>43</v>
      </c>
      <c r="D17" s="57">
        <f t="shared" si="0"/>
        <v>2012</v>
      </c>
      <c r="E17">
        <v>1</v>
      </c>
      <c r="F17">
        <v>12</v>
      </c>
      <c r="G17" s="59">
        <f t="shared" si="3"/>
        <v>916</v>
      </c>
      <c r="H17" s="61"/>
      <c r="I17" s="61">
        <f t="shared" si="4"/>
        <v>916</v>
      </c>
      <c r="L17" s="61">
        <f t="shared" si="1"/>
        <v>916</v>
      </c>
    </row>
    <row r="18" spans="1:12" ht="15.75">
      <c r="A18">
        <f t="shared" si="2"/>
        <v>10</v>
      </c>
      <c r="C18" s="55" t="s">
        <v>43</v>
      </c>
      <c r="D18" s="57">
        <f t="shared" si="0"/>
        <v>2013</v>
      </c>
      <c r="E18">
        <v>1</v>
      </c>
      <c r="F18">
        <v>12</v>
      </c>
      <c r="G18" s="59">
        <f t="shared" si="3"/>
        <v>916</v>
      </c>
      <c r="H18" s="61"/>
      <c r="I18" s="61">
        <f t="shared" si="4"/>
        <v>916</v>
      </c>
      <c r="L18" s="61">
        <f t="shared" si="1"/>
        <v>916</v>
      </c>
    </row>
    <row r="19" spans="1:12" ht="15.75">
      <c r="A19">
        <f t="shared" si="2"/>
        <v>11</v>
      </c>
      <c r="C19" s="55" t="s">
        <v>43</v>
      </c>
      <c r="D19" s="57">
        <f t="shared" si="0"/>
        <v>2014</v>
      </c>
      <c r="E19">
        <v>1</v>
      </c>
      <c r="F19">
        <v>12</v>
      </c>
      <c r="G19" s="59">
        <f t="shared" si="3"/>
        <v>916</v>
      </c>
      <c r="H19" s="61"/>
      <c r="I19" s="61">
        <f t="shared" si="4"/>
        <v>916</v>
      </c>
      <c r="L19" s="61">
        <f t="shared" si="1"/>
        <v>916</v>
      </c>
    </row>
    <row r="20" spans="1:12" ht="15.75">
      <c r="A20">
        <f t="shared" si="2"/>
        <v>12</v>
      </c>
      <c r="C20" s="55" t="s">
        <v>43</v>
      </c>
      <c r="D20" s="57">
        <f t="shared" si="0"/>
        <v>2015</v>
      </c>
      <c r="E20">
        <v>1</v>
      </c>
      <c r="F20">
        <v>12</v>
      </c>
      <c r="G20" s="59">
        <f t="shared" si="3"/>
        <v>916</v>
      </c>
      <c r="H20" s="61"/>
      <c r="I20" s="61">
        <f t="shared" si="4"/>
        <v>916</v>
      </c>
      <c r="L20" s="61">
        <f t="shared" si="1"/>
        <v>916</v>
      </c>
    </row>
    <row r="21" spans="1:12" ht="15.75">
      <c r="A21">
        <f t="shared" si="2"/>
        <v>13</v>
      </c>
      <c r="C21" s="55" t="s">
        <v>43</v>
      </c>
      <c r="D21" s="57">
        <f t="shared" si="0"/>
        <v>2016</v>
      </c>
      <c r="E21">
        <v>1</v>
      </c>
      <c r="F21">
        <v>12</v>
      </c>
      <c r="G21" s="59">
        <f t="shared" si="3"/>
        <v>916</v>
      </c>
      <c r="H21" s="61"/>
      <c r="I21" s="61">
        <f t="shared" si="4"/>
        <v>916</v>
      </c>
      <c r="L21" s="61">
        <f t="shared" si="1"/>
        <v>916</v>
      </c>
    </row>
    <row r="22" spans="1:12" ht="15.75">
      <c r="A22">
        <f t="shared" si="2"/>
        <v>14</v>
      </c>
      <c r="C22" s="55" t="s">
        <v>43</v>
      </c>
      <c r="D22" s="57">
        <f t="shared" si="0"/>
        <v>2017</v>
      </c>
      <c r="E22">
        <v>1</v>
      </c>
      <c r="F22">
        <v>12</v>
      </c>
      <c r="G22" s="59">
        <f t="shared" si="3"/>
        <v>916</v>
      </c>
      <c r="I22" s="61">
        <f t="shared" si="4"/>
        <v>916</v>
      </c>
      <c r="L22" s="61">
        <f t="shared" si="1"/>
        <v>916</v>
      </c>
    </row>
    <row r="23" spans="1:12" ht="15.75">
      <c r="A23">
        <f t="shared" si="2"/>
        <v>15</v>
      </c>
      <c r="C23" s="55" t="s">
        <v>43</v>
      </c>
      <c r="D23" s="57">
        <f t="shared" si="0"/>
        <v>2018</v>
      </c>
      <c r="E23">
        <v>1</v>
      </c>
      <c r="F23">
        <v>12</v>
      </c>
      <c r="G23" s="59">
        <f t="shared" si="3"/>
        <v>916</v>
      </c>
      <c r="I23" s="61">
        <f t="shared" si="4"/>
        <v>916</v>
      </c>
      <c r="L23" s="61">
        <f t="shared" si="1"/>
        <v>916</v>
      </c>
    </row>
    <row r="24" spans="1:12" ht="15.75">
      <c r="A24">
        <f t="shared" si="2"/>
        <v>16</v>
      </c>
      <c r="C24" s="55" t="s">
        <v>43</v>
      </c>
      <c r="D24" s="57">
        <f t="shared" si="0"/>
        <v>2019</v>
      </c>
      <c r="E24">
        <v>1</v>
      </c>
      <c r="F24">
        <v>12</v>
      </c>
      <c r="G24" s="59">
        <f t="shared" si="3"/>
        <v>916</v>
      </c>
      <c r="I24" s="61">
        <f t="shared" si="4"/>
        <v>916</v>
      </c>
      <c r="L24" s="61">
        <f t="shared" si="1"/>
        <v>916</v>
      </c>
    </row>
    <row r="25" spans="1:12" ht="15.75">
      <c r="A25">
        <f t="shared" si="2"/>
        <v>17</v>
      </c>
      <c r="C25" s="55" t="s">
        <v>43</v>
      </c>
      <c r="D25" s="57">
        <f t="shared" si="0"/>
        <v>2020</v>
      </c>
      <c r="E25">
        <v>1</v>
      </c>
      <c r="F25">
        <v>12</v>
      </c>
      <c r="G25" s="59">
        <f t="shared" si="3"/>
        <v>916</v>
      </c>
      <c r="I25" s="61">
        <f t="shared" si="4"/>
        <v>916</v>
      </c>
      <c r="L25" s="61">
        <f t="shared" si="1"/>
        <v>916</v>
      </c>
    </row>
    <row r="26" spans="1:12" ht="15.75">
      <c r="A26">
        <f t="shared" si="2"/>
        <v>18</v>
      </c>
      <c r="C26" s="55" t="s">
        <v>43</v>
      </c>
      <c r="D26" s="57">
        <f t="shared" si="0"/>
        <v>2021</v>
      </c>
      <c r="E26">
        <v>1</v>
      </c>
      <c r="F26">
        <v>12</v>
      </c>
      <c r="G26" s="59">
        <f t="shared" si="3"/>
        <v>916</v>
      </c>
      <c r="I26" s="61">
        <f t="shared" si="4"/>
        <v>916</v>
      </c>
      <c r="L26" s="61">
        <f t="shared" si="1"/>
        <v>916</v>
      </c>
    </row>
    <row r="27" spans="1:12" ht="15.75">
      <c r="A27">
        <f t="shared" si="2"/>
        <v>19</v>
      </c>
      <c r="C27" s="55" t="s">
        <v>43</v>
      </c>
      <c r="D27" s="57">
        <f t="shared" si="0"/>
        <v>2022</v>
      </c>
      <c r="E27">
        <v>1</v>
      </c>
      <c r="F27">
        <v>12</v>
      </c>
      <c r="G27" s="59">
        <f t="shared" si="3"/>
        <v>916</v>
      </c>
      <c r="I27" s="61">
        <f t="shared" si="4"/>
        <v>916</v>
      </c>
      <c r="L27" s="61">
        <f t="shared" si="1"/>
        <v>916</v>
      </c>
    </row>
    <row r="28" spans="1:12" ht="15.75">
      <c r="A28">
        <f t="shared" si="2"/>
        <v>20</v>
      </c>
      <c r="C28" s="55" t="s">
        <v>43</v>
      </c>
      <c r="D28" s="57">
        <f t="shared" si="0"/>
        <v>2023</v>
      </c>
      <c r="E28">
        <v>1</v>
      </c>
      <c r="F28">
        <v>12</v>
      </c>
      <c r="G28" s="59">
        <f t="shared" si="3"/>
        <v>916</v>
      </c>
      <c r="I28" s="61">
        <f t="shared" si="4"/>
        <v>916</v>
      </c>
      <c r="L28" s="61">
        <f t="shared" si="1"/>
        <v>916</v>
      </c>
    </row>
    <row r="29" spans="1:12" ht="15.75">
      <c r="A29">
        <f t="shared" si="2"/>
        <v>21</v>
      </c>
      <c r="C29" s="55" t="s">
        <v>43</v>
      </c>
      <c r="D29" s="57">
        <f t="shared" si="0"/>
        <v>2024</v>
      </c>
      <c r="E29">
        <v>1</v>
      </c>
      <c r="F29">
        <v>12</v>
      </c>
      <c r="G29" s="59">
        <f t="shared" si="3"/>
        <v>916</v>
      </c>
      <c r="I29" s="61">
        <f t="shared" si="4"/>
        <v>916</v>
      </c>
      <c r="L29" s="61">
        <f t="shared" si="1"/>
        <v>916</v>
      </c>
    </row>
    <row r="30" spans="1:12" ht="15.75">
      <c r="A30">
        <f t="shared" si="2"/>
        <v>22</v>
      </c>
      <c r="C30" s="55" t="s">
        <v>43</v>
      </c>
      <c r="D30" s="57">
        <f t="shared" si="0"/>
        <v>2025</v>
      </c>
      <c r="E30">
        <v>1</v>
      </c>
      <c r="F30">
        <v>12</v>
      </c>
      <c r="G30" s="59">
        <f t="shared" si="3"/>
        <v>916</v>
      </c>
      <c r="I30" s="61">
        <f t="shared" si="4"/>
        <v>916</v>
      </c>
      <c r="L30" s="61">
        <f t="shared" si="1"/>
        <v>916</v>
      </c>
    </row>
    <row r="31" spans="1:12" ht="15.75">
      <c r="A31">
        <f t="shared" si="2"/>
        <v>23</v>
      </c>
      <c r="C31" s="55" t="s">
        <v>43</v>
      </c>
      <c r="D31" s="57">
        <f t="shared" si="0"/>
        <v>2026</v>
      </c>
      <c r="E31">
        <v>1</v>
      </c>
      <c r="F31">
        <v>12</v>
      </c>
      <c r="G31" s="59">
        <f t="shared" si="3"/>
        <v>916</v>
      </c>
      <c r="I31" s="61">
        <f t="shared" si="4"/>
        <v>916</v>
      </c>
      <c r="L31" s="61">
        <f t="shared" si="1"/>
        <v>916</v>
      </c>
    </row>
    <row r="32" spans="1:12" ht="15.75">
      <c r="A32">
        <f t="shared" si="2"/>
        <v>24</v>
      </c>
      <c r="C32" s="55" t="s">
        <v>43</v>
      </c>
      <c r="D32" s="57">
        <f t="shared" si="0"/>
        <v>2027</v>
      </c>
      <c r="E32">
        <v>1</v>
      </c>
      <c r="F32">
        <v>12</v>
      </c>
      <c r="G32" s="59">
        <f t="shared" si="3"/>
        <v>916</v>
      </c>
      <c r="I32" s="61">
        <f t="shared" si="4"/>
        <v>916</v>
      </c>
      <c r="L32" s="61">
        <f t="shared" si="1"/>
        <v>916</v>
      </c>
    </row>
    <row r="33" spans="1:12" ht="15.75">
      <c r="A33">
        <f t="shared" si="2"/>
        <v>25</v>
      </c>
      <c r="C33" s="55" t="s">
        <v>43</v>
      </c>
      <c r="D33" s="57">
        <f t="shared" si="0"/>
        <v>2028</v>
      </c>
      <c r="E33">
        <v>1</v>
      </c>
      <c r="F33">
        <v>12</v>
      </c>
      <c r="G33" s="59">
        <f t="shared" si="3"/>
        <v>916</v>
      </c>
      <c r="I33" s="61">
        <f t="shared" si="4"/>
        <v>916</v>
      </c>
      <c r="L33" s="61">
        <f t="shared" si="1"/>
        <v>916</v>
      </c>
    </row>
    <row r="34" spans="1:12" ht="15.75">
      <c r="A34">
        <f t="shared" si="2"/>
        <v>26</v>
      </c>
      <c r="C34" s="55" t="s">
        <v>43</v>
      </c>
      <c r="D34" s="57">
        <f t="shared" si="0"/>
        <v>2029</v>
      </c>
      <c r="E34">
        <v>1</v>
      </c>
      <c r="F34">
        <v>12</v>
      </c>
      <c r="G34" s="59">
        <f t="shared" si="3"/>
        <v>916</v>
      </c>
      <c r="I34" s="61">
        <f t="shared" si="4"/>
        <v>916</v>
      </c>
      <c r="L34" s="61">
        <f t="shared" si="1"/>
        <v>916</v>
      </c>
    </row>
    <row r="35" spans="1:12" ht="15.75">
      <c r="A35">
        <f t="shared" si="2"/>
        <v>27</v>
      </c>
      <c r="C35" s="55" t="s">
        <v>43</v>
      </c>
      <c r="D35" s="57">
        <f t="shared" si="0"/>
        <v>2030</v>
      </c>
      <c r="E35">
        <v>1</v>
      </c>
      <c r="F35">
        <v>12</v>
      </c>
      <c r="G35" s="59">
        <f t="shared" si="3"/>
        <v>916</v>
      </c>
      <c r="I35" s="61">
        <f t="shared" si="4"/>
        <v>916</v>
      </c>
      <c r="L35" s="61">
        <f t="shared" si="1"/>
        <v>916</v>
      </c>
    </row>
    <row r="36" spans="1:12" ht="15.75">
      <c r="A36">
        <f t="shared" si="2"/>
        <v>28</v>
      </c>
      <c r="C36" s="55" t="s">
        <v>43</v>
      </c>
      <c r="D36" s="57">
        <f t="shared" si="0"/>
        <v>2031</v>
      </c>
      <c r="E36">
        <v>1</v>
      </c>
      <c r="F36">
        <v>12</v>
      </c>
      <c r="G36" s="59">
        <f t="shared" si="3"/>
        <v>916</v>
      </c>
      <c r="I36" s="61">
        <f t="shared" si="4"/>
        <v>916</v>
      </c>
      <c r="L36" s="61">
        <f t="shared" si="1"/>
        <v>916</v>
      </c>
    </row>
    <row r="37" spans="1:12" ht="15.75">
      <c r="A37">
        <f t="shared" si="2"/>
        <v>29</v>
      </c>
      <c r="C37" s="55" t="s">
        <v>43</v>
      </c>
      <c r="D37" s="57">
        <f t="shared" si="0"/>
        <v>2032</v>
      </c>
      <c r="E37">
        <v>1</v>
      </c>
      <c r="F37">
        <v>12</v>
      </c>
      <c r="G37" s="59">
        <f t="shared" si="3"/>
        <v>916</v>
      </c>
      <c r="I37" s="61">
        <f t="shared" si="4"/>
        <v>916</v>
      </c>
      <c r="L37" s="61">
        <f t="shared" si="1"/>
        <v>916</v>
      </c>
    </row>
    <row r="38" spans="1:12" ht="15.75">
      <c r="A38">
        <f t="shared" si="2"/>
        <v>30</v>
      </c>
      <c r="C38" s="55" t="s">
        <v>43</v>
      </c>
      <c r="D38" s="57">
        <f t="shared" si="0"/>
        <v>2033</v>
      </c>
      <c r="E38">
        <v>1</v>
      </c>
      <c r="F38">
        <v>12</v>
      </c>
      <c r="G38" s="59">
        <f t="shared" si="3"/>
        <v>916</v>
      </c>
      <c r="I38" s="61">
        <f t="shared" si="4"/>
        <v>916</v>
      </c>
      <c r="L38" s="61">
        <f t="shared" si="1"/>
        <v>916</v>
      </c>
    </row>
    <row r="39" spans="1:12" ht="15.75">
      <c r="A39">
        <f t="shared" si="2"/>
        <v>31</v>
      </c>
      <c r="C39" s="55" t="s">
        <v>43</v>
      </c>
      <c r="D39" s="57">
        <f t="shared" si="0"/>
        <v>2034</v>
      </c>
      <c r="E39">
        <v>1</v>
      </c>
      <c r="F39">
        <v>12</v>
      </c>
      <c r="G39" s="59">
        <f t="shared" si="3"/>
        <v>916</v>
      </c>
      <c r="H39" s="79"/>
      <c r="I39" s="61">
        <f t="shared" si="4"/>
        <v>916</v>
      </c>
      <c r="L39" s="61">
        <f t="shared" si="1"/>
        <v>916</v>
      </c>
    </row>
    <row r="40" spans="1:12" ht="15.75">
      <c r="A40">
        <f t="shared" si="2"/>
        <v>32</v>
      </c>
      <c r="C40" s="55" t="s">
        <v>43</v>
      </c>
      <c r="D40" s="57">
        <f t="shared" si="0"/>
        <v>2035</v>
      </c>
      <c r="E40">
        <v>1</v>
      </c>
      <c r="F40">
        <v>12</v>
      </c>
      <c r="G40" s="59">
        <f t="shared" si="3"/>
        <v>916</v>
      </c>
      <c r="I40" s="61">
        <f t="shared" si="4"/>
        <v>916</v>
      </c>
      <c r="L40" s="61">
        <f t="shared" si="1"/>
        <v>916</v>
      </c>
    </row>
    <row r="41" spans="1:12" ht="15.75">
      <c r="A41">
        <f t="shared" si="2"/>
        <v>33</v>
      </c>
      <c r="C41" s="55" t="s">
        <v>43</v>
      </c>
      <c r="D41" s="57">
        <f aca="true" t="shared" si="5" ref="D41:D72">+D40+1</f>
        <v>2036</v>
      </c>
      <c r="E41">
        <v>1</v>
      </c>
      <c r="F41">
        <v>12</v>
      </c>
      <c r="G41" s="59">
        <f t="shared" si="3"/>
        <v>916</v>
      </c>
      <c r="I41" s="61">
        <f t="shared" si="4"/>
        <v>916</v>
      </c>
      <c r="L41" s="61">
        <f aca="true" t="shared" si="6" ref="L41:L72">+G41-K41</f>
        <v>916</v>
      </c>
    </row>
    <row r="42" spans="1:12" ht="15.75">
      <c r="A42">
        <f aca="true" t="shared" si="7" ref="A42:A73">+A41+1</f>
        <v>34</v>
      </c>
      <c r="C42" s="55" t="s">
        <v>43</v>
      </c>
      <c r="D42" s="57">
        <f t="shared" si="5"/>
        <v>2037</v>
      </c>
      <c r="E42">
        <v>1</v>
      </c>
      <c r="F42">
        <v>12</v>
      </c>
      <c r="G42" s="59">
        <f t="shared" si="3"/>
        <v>916</v>
      </c>
      <c r="I42" s="61">
        <f t="shared" si="4"/>
        <v>916</v>
      </c>
      <c r="L42" s="61">
        <f t="shared" si="6"/>
        <v>916</v>
      </c>
    </row>
    <row r="43" spans="1:12" ht="15.75">
      <c r="A43">
        <f t="shared" si="7"/>
        <v>35</v>
      </c>
      <c r="C43" s="55" t="s">
        <v>43</v>
      </c>
      <c r="D43" s="57">
        <f t="shared" si="5"/>
        <v>2038</v>
      </c>
      <c r="E43">
        <v>1</v>
      </c>
      <c r="F43">
        <v>12</v>
      </c>
      <c r="G43" s="59">
        <f t="shared" si="3"/>
        <v>916</v>
      </c>
      <c r="I43" s="61">
        <f t="shared" si="4"/>
        <v>916</v>
      </c>
      <c r="L43" s="61">
        <f t="shared" si="6"/>
        <v>916</v>
      </c>
    </row>
    <row r="44" spans="1:12" ht="15.75">
      <c r="A44">
        <f t="shared" si="7"/>
        <v>36</v>
      </c>
      <c r="C44" s="55" t="s">
        <v>43</v>
      </c>
      <c r="D44" s="57">
        <f t="shared" si="5"/>
        <v>2039</v>
      </c>
      <c r="E44">
        <v>1</v>
      </c>
      <c r="F44">
        <v>12</v>
      </c>
      <c r="G44" s="59">
        <f t="shared" si="3"/>
        <v>916</v>
      </c>
      <c r="I44" s="61">
        <f aca="true" t="shared" si="8" ref="I44:I75">+G44</f>
        <v>916</v>
      </c>
      <c r="L44" s="61">
        <f t="shared" si="6"/>
        <v>916</v>
      </c>
    </row>
    <row r="45" spans="1:12" ht="15.75">
      <c r="A45">
        <f t="shared" si="7"/>
        <v>37</v>
      </c>
      <c r="C45" s="55" t="s">
        <v>43</v>
      </c>
      <c r="D45" s="57">
        <f t="shared" si="5"/>
        <v>2040</v>
      </c>
      <c r="E45">
        <v>1</v>
      </c>
      <c r="F45">
        <v>12</v>
      </c>
      <c r="G45" s="59">
        <f t="shared" si="3"/>
        <v>916</v>
      </c>
      <c r="I45" s="61">
        <f t="shared" si="8"/>
        <v>916</v>
      </c>
      <c r="L45" s="61">
        <f t="shared" si="6"/>
        <v>916</v>
      </c>
    </row>
    <row r="46" spans="1:12" ht="15.75">
      <c r="A46">
        <f t="shared" si="7"/>
        <v>38</v>
      </c>
      <c r="C46" s="55" t="s">
        <v>43</v>
      </c>
      <c r="D46" s="57">
        <f t="shared" si="5"/>
        <v>2041</v>
      </c>
      <c r="E46">
        <v>1</v>
      </c>
      <c r="F46">
        <v>12</v>
      </c>
      <c r="G46" s="59">
        <f t="shared" si="3"/>
        <v>916</v>
      </c>
      <c r="I46" s="61">
        <f t="shared" si="8"/>
        <v>916</v>
      </c>
      <c r="L46" s="61">
        <f t="shared" si="6"/>
        <v>916</v>
      </c>
    </row>
    <row r="47" spans="1:12" ht="15.75">
      <c r="A47">
        <f t="shared" si="7"/>
        <v>39</v>
      </c>
      <c r="C47" s="55" t="s">
        <v>43</v>
      </c>
      <c r="D47" s="57">
        <f t="shared" si="5"/>
        <v>2042</v>
      </c>
      <c r="E47">
        <v>1</v>
      </c>
      <c r="F47">
        <v>12</v>
      </c>
      <c r="G47" s="59">
        <f t="shared" si="3"/>
        <v>916</v>
      </c>
      <c r="I47" s="61">
        <f t="shared" si="8"/>
        <v>916</v>
      </c>
      <c r="L47" s="61">
        <f t="shared" si="6"/>
        <v>916</v>
      </c>
    </row>
    <row r="48" spans="1:12" ht="15.75">
      <c r="A48">
        <f t="shared" si="7"/>
        <v>40</v>
      </c>
      <c r="C48" s="55" t="s">
        <v>43</v>
      </c>
      <c r="D48" s="57">
        <f t="shared" si="5"/>
        <v>2043</v>
      </c>
      <c r="E48">
        <v>1</v>
      </c>
      <c r="F48">
        <v>12</v>
      </c>
      <c r="G48" s="59">
        <f t="shared" si="3"/>
        <v>916</v>
      </c>
      <c r="I48" s="61">
        <f t="shared" si="8"/>
        <v>916</v>
      </c>
      <c r="L48" s="61">
        <f t="shared" si="6"/>
        <v>916</v>
      </c>
    </row>
    <row r="49" spans="1:12" ht="15.75">
      <c r="A49">
        <f t="shared" si="7"/>
        <v>41</v>
      </c>
      <c r="C49" s="55" t="s">
        <v>43</v>
      </c>
      <c r="D49" s="57">
        <f t="shared" si="5"/>
        <v>2044</v>
      </c>
      <c r="E49">
        <v>1</v>
      </c>
      <c r="F49">
        <v>12</v>
      </c>
      <c r="G49" s="59">
        <f t="shared" si="3"/>
        <v>916</v>
      </c>
      <c r="I49" s="61">
        <f t="shared" si="8"/>
        <v>916</v>
      </c>
      <c r="L49" s="61">
        <f t="shared" si="6"/>
        <v>916</v>
      </c>
    </row>
    <row r="50" spans="1:12" ht="15.75">
      <c r="A50">
        <f t="shared" si="7"/>
        <v>42</v>
      </c>
      <c r="C50" s="55" t="s">
        <v>43</v>
      </c>
      <c r="D50" s="57">
        <f t="shared" si="5"/>
        <v>2045</v>
      </c>
      <c r="E50">
        <v>1</v>
      </c>
      <c r="F50">
        <v>12</v>
      </c>
      <c r="G50" s="59">
        <f t="shared" si="3"/>
        <v>916</v>
      </c>
      <c r="I50" s="61">
        <f t="shared" si="8"/>
        <v>916</v>
      </c>
      <c r="L50" s="61">
        <f t="shared" si="6"/>
        <v>916</v>
      </c>
    </row>
    <row r="51" spans="1:12" ht="15.75">
      <c r="A51">
        <f t="shared" si="7"/>
        <v>43</v>
      </c>
      <c r="C51" s="55" t="s">
        <v>43</v>
      </c>
      <c r="D51" s="57">
        <f t="shared" si="5"/>
        <v>2046</v>
      </c>
      <c r="E51">
        <v>1</v>
      </c>
      <c r="F51">
        <v>12</v>
      </c>
      <c r="G51" s="59">
        <f t="shared" si="3"/>
        <v>916</v>
      </c>
      <c r="I51" s="61">
        <f t="shared" si="8"/>
        <v>916</v>
      </c>
      <c r="L51" s="61">
        <f t="shared" si="6"/>
        <v>916</v>
      </c>
    </row>
    <row r="52" spans="1:12" ht="15.75">
      <c r="A52">
        <f t="shared" si="7"/>
        <v>44</v>
      </c>
      <c r="C52" s="55" t="s">
        <v>43</v>
      </c>
      <c r="D52" s="57">
        <f t="shared" si="5"/>
        <v>2047</v>
      </c>
      <c r="E52">
        <v>1</v>
      </c>
      <c r="F52">
        <v>12</v>
      </c>
      <c r="G52" s="59">
        <f t="shared" si="3"/>
        <v>916</v>
      </c>
      <c r="I52" s="61">
        <f t="shared" si="8"/>
        <v>916</v>
      </c>
      <c r="L52" s="61">
        <f t="shared" si="6"/>
        <v>916</v>
      </c>
    </row>
    <row r="53" spans="1:12" ht="15.75">
      <c r="A53">
        <f t="shared" si="7"/>
        <v>45</v>
      </c>
      <c r="C53" s="55" t="s">
        <v>43</v>
      </c>
      <c r="D53" s="57">
        <f t="shared" si="5"/>
        <v>2048</v>
      </c>
      <c r="E53">
        <v>1</v>
      </c>
      <c r="F53">
        <v>12</v>
      </c>
      <c r="G53" s="59">
        <f t="shared" si="3"/>
        <v>916</v>
      </c>
      <c r="I53" s="61">
        <f t="shared" si="8"/>
        <v>916</v>
      </c>
      <c r="L53" s="61">
        <f t="shared" si="6"/>
        <v>916</v>
      </c>
    </row>
    <row r="54" spans="1:12" ht="15.75">
      <c r="A54">
        <f t="shared" si="7"/>
        <v>46</v>
      </c>
      <c r="C54" s="55" t="s">
        <v>43</v>
      </c>
      <c r="D54" s="57">
        <f t="shared" si="5"/>
        <v>2049</v>
      </c>
      <c r="E54">
        <v>1</v>
      </c>
      <c r="F54">
        <v>12</v>
      </c>
      <c r="G54" s="59">
        <f t="shared" si="3"/>
        <v>916</v>
      </c>
      <c r="I54" s="61">
        <f t="shared" si="8"/>
        <v>916</v>
      </c>
      <c r="L54" s="61">
        <f t="shared" si="6"/>
        <v>916</v>
      </c>
    </row>
    <row r="55" spans="1:12" ht="15.75">
      <c r="A55">
        <f t="shared" si="7"/>
        <v>47</v>
      </c>
      <c r="C55" s="55" t="s">
        <v>43</v>
      </c>
      <c r="D55" s="57">
        <f t="shared" si="5"/>
        <v>2050</v>
      </c>
      <c r="E55">
        <v>1</v>
      </c>
      <c r="F55">
        <v>12</v>
      </c>
      <c r="G55" s="59">
        <f t="shared" si="3"/>
        <v>916</v>
      </c>
      <c r="I55" s="61">
        <f t="shared" si="8"/>
        <v>916</v>
      </c>
      <c r="L55" s="61">
        <f t="shared" si="6"/>
        <v>916</v>
      </c>
    </row>
    <row r="56" spans="1:12" ht="15.75">
      <c r="A56">
        <f t="shared" si="7"/>
        <v>48</v>
      </c>
      <c r="C56" s="55" t="s">
        <v>43</v>
      </c>
      <c r="D56" s="57">
        <f t="shared" si="5"/>
        <v>2051</v>
      </c>
      <c r="E56">
        <v>1</v>
      </c>
      <c r="F56">
        <v>12</v>
      </c>
      <c r="G56" s="59">
        <f t="shared" si="3"/>
        <v>916</v>
      </c>
      <c r="I56" s="61">
        <f t="shared" si="8"/>
        <v>916</v>
      </c>
      <c r="L56" s="61">
        <f t="shared" si="6"/>
        <v>916</v>
      </c>
    </row>
    <row r="57" spans="1:12" ht="15.75">
      <c r="A57">
        <f t="shared" si="7"/>
        <v>49</v>
      </c>
      <c r="C57" s="55" t="s">
        <v>43</v>
      </c>
      <c r="D57" s="57">
        <f t="shared" si="5"/>
        <v>2052</v>
      </c>
      <c r="E57">
        <v>1</v>
      </c>
      <c r="F57">
        <v>12</v>
      </c>
      <c r="G57" s="59">
        <f t="shared" si="3"/>
        <v>916</v>
      </c>
      <c r="I57" s="61">
        <f t="shared" si="8"/>
        <v>916</v>
      </c>
      <c r="L57" s="61">
        <f t="shared" si="6"/>
        <v>916</v>
      </c>
    </row>
    <row r="58" spans="1:12" ht="15.75">
      <c r="A58">
        <f t="shared" si="7"/>
        <v>50</v>
      </c>
      <c r="C58" s="55" t="s">
        <v>43</v>
      </c>
      <c r="D58" s="57">
        <f t="shared" si="5"/>
        <v>2053</v>
      </c>
      <c r="E58">
        <v>1</v>
      </c>
      <c r="F58">
        <v>12</v>
      </c>
      <c r="G58" s="59">
        <f t="shared" si="3"/>
        <v>916</v>
      </c>
      <c r="I58" s="61">
        <f t="shared" si="8"/>
        <v>916</v>
      </c>
      <c r="L58" s="61">
        <f t="shared" si="6"/>
        <v>916</v>
      </c>
    </row>
    <row r="59" spans="1:12" ht="15.75">
      <c r="A59">
        <f t="shared" si="7"/>
        <v>51</v>
      </c>
      <c r="C59" s="55" t="s">
        <v>43</v>
      </c>
      <c r="D59" s="57">
        <f t="shared" si="5"/>
        <v>2054</v>
      </c>
      <c r="E59">
        <v>1</v>
      </c>
      <c r="F59">
        <v>12</v>
      </c>
      <c r="G59" s="59">
        <f t="shared" si="3"/>
        <v>916</v>
      </c>
      <c r="I59" s="61">
        <f t="shared" si="8"/>
        <v>916</v>
      </c>
      <c r="L59" s="61">
        <f t="shared" si="6"/>
        <v>916</v>
      </c>
    </row>
    <row r="60" spans="1:12" ht="15.75">
      <c r="A60">
        <f t="shared" si="7"/>
        <v>52</v>
      </c>
      <c r="C60" s="55" t="s">
        <v>43</v>
      </c>
      <c r="D60" s="57">
        <f t="shared" si="5"/>
        <v>2055</v>
      </c>
      <c r="E60">
        <v>1</v>
      </c>
      <c r="F60">
        <v>12</v>
      </c>
      <c r="G60" s="59">
        <f t="shared" si="3"/>
        <v>916</v>
      </c>
      <c r="I60" s="61">
        <f t="shared" si="8"/>
        <v>916</v>
      </c>
      <c r="L60" s="61">
        <f t="shared" si="6"/>
        <v>916</v>
      </c>
    </row>
    <row r="61" spans="1:12" ht="15.75">
      <c r="A61">
        <f t="shared" si="7"/>
        <v>53</v>
      </c>
      <c r="C61" s="55" t="s">
        <v>43</v>
      </c>
      <c r="D61" s="57">
        <f t="shared" si="5"/>
        <v>2056</v>
      </c>
      <c r="E61">
        <v>1</v>
      </c>
      <c r="F61">
        <v>12</v>
      </c>
      <c r="G61" s="59">
        <f t="shared" si="3"/>
        <v>916</v>
      </c>
      <c r="I61" s="61">
        <f t="shared" si="8"/>
        <v>916</v>
      </c>
      <c r="L61" s="61">
        <f t="shared" si="6"/>
        <v>916</v>
      </c>
    </row>
    <row r="62" spans="1:12" ht="15.75">
      <c r="A62">
        <f t="shared" si="7"/>
        <v>54</v>
      </c>
      <c r="C62" s="55" t="s">
        <v>43</v>
      </c>
      <c r="D62" s="57">
        <f t="shared" si="5"/>
        <v>2057</v>
      </c>
      <c r="E62">
        <v>1</v>
      </c>
      <c r="F62">
        <v>12</v>
      </c>
      <c r="G62" s="59">
        <f t="shared" si="3"/>
        <v>916</v>
      </c>
      <c r="I62" s="61">
        <f t="shared" si="8"/>
        <v>916</v>
      </c>
      <c r="L62" s="61">
        <f t="shared" si="6"/>
        <v>916</v>
      </c>
    </row>
    <row r="63" spans="1:12" ht="15.75">
      <c r="A63">
        <f t="shared" si="7"/>
        <v>55</v>
      </c>
      <c r="C63" s="55" t="s">
        <v>43</v>
      </c>
      <c r="D63" s="57">
        <f t="shared" si="5"/>
        <v>2058</v>
      </c>
      <c r="E63">
        <v>1</v>
      </c>
      <c r="F63">
        <v>12</v>
      </c>
      <c r="G63" s="59">
        <f t="shared" si="3"/>
        <v>916</v>
      </c>
      <c r="I63" s="61">
        <f t="shared" si="8"/>
        <v>916</v>
      </c>
      <c r="L63" s="61">
        <f t="shared" si="6"/>
        <v>916</v>
      </c>
    </row>
    <row r="64" spans="1:12" ht="15.75">
      <c r="A64">
        <f t="shared" si="7"/>
        <v>56</v>
      </c>
      <c r="C64" s="55" t="s">
        <v>43</v>
      </c>
      <c r="D64" s="57">
        <f t="shared" si="5"/>
        <v>2059</v>
      </c>
      <c r="E64">
        <v>1</v>
      </c>
      <c r="F64">
        <v>12</v>
      </c>
      <c r="G64" s="59">
        <f t="shared" si="3"/>
        <v>916</v>
      </c>
      <c r="I64" s="61">
        <f t="shared" si="8"/>
        <v>916</v>
      </c>
      <c r="L64" s="61">
        <f t="shared" si="6"/>
        <v>916</v>
      </c>
    </row>
    <row r="65" spans="1:12" ht="15.75">
      <c r="A65">
        <f t="shared" si="7"/>
        <v>57</v>
      </c>
      <c r="C65" s="55" t="s">
        <v>43</v>
      </c>
      <c r="D65" s="57">
        <f t="shared" si="5"/>
        <v>2060</v>
      </c>
      <c r="E65">
        <v>1</v>
      </c>
      <c r="F65">
        <v>12</v>
      </c>
      <c r="G65" s="59">
        <f t="shared" si="3"/>
        <v>916</v>
      </c>
      <c r="I65" s="61">
        <f t="shared" si="8"/>
        <v>916</v>
      </c>
      <c r="L65" s="61">
        <f t="shared" si="6"/>
        <v>916</v>
      </c>
    </row>
    <row r="66" spans="1:12" ht="15.75">
      <c r="A66">
        <f t="shared" si="7"/>
        <v>58</v>
      </c>
      <c r="C66" s="55" t="s">
        <v>43</v>
      </c>
      <c r="D66" s="57">
        <f t="shared" si="5"/>
        <v>2061</v>
      </c>
      <c r="E66">
        <v>1</v>
      </c>
      <c r="F66">
        <v>12</v>
      </c>
      <c r="G66" s="59">
        <f t="shared" si="3"/>
        <v>916</v>
      </c>
      <c r="I66" s="61">
        <f t="shared" si="8"/>
        <v>916</v>
      </c>
      <c r="L66" s="61">
        <f t="shared" si="6"/>
        <v>916</v>
      </c>
    </row>
    <row r="67" spans="1:12" ht="15.75">
      <c r="A67">
        <f t="shared" si="7"/>
        <v>59</v>
      </c>
      <c r="C67" s="55" t="s">
        <v>43</v>
      </c>
      <c r="D67" s="57">
        <f t="shared" si="5"/>
        <v>2062</v>
      </c>
      <c r="E67">
        <v>1</v>
      </c>
      <c r="F67">
        <v>12</v>
      </c>
      <c r="G67" s="59">
        <f t="shared" si="3"/>
        <v>916</v>
      </c>
      <c r="I67" s="61">
        <f t="shared" si="8"/>
        <v>916</v>
      </c>
      <c r="L67" s="61">
        <f t="shared" si="6"/>
        <v>916</v>
      </c>
    </row>
    <row r="68" spans="1:12" ht="15.75">
      <c r="A68">
        <f t="shared" si="7"/>
        <v>60</v>
      </c>
      <c r="C68" s="55" t="s">
        <v>43</v>
      </c>
      <c r="D68" s="57">
        <f t="shared" si="5"/>
        <v>2063</v>
      </c>
      <c r="E68">
        <v>1</v>
      </c>
      <c r="F68">
        <v>12</v>
      </c>
      <c r="G68" s="59">
        <f t="shared" si="3"/>
        <v>916</v>
      </c>
      <c r="I68" s="61">
        <f t="shared" si="8"/>
        <v>916</v>
      </c>
      <c r="L68" s="61">
        <f t="shared" si="6"/>
        <v>916</v>
      </c>
    </row>
    <row r="69" spans="1:12" ht="15.75">
      <c r="A69">
        <f t="shared" si="7"/>
        <v>61</v>
      </c>
      <c r="C69" s="55" t="s">
        <v>43</v>
      </c>
      <c r="D69" s="57">
        <f t="shared" si="5"/>
        <v>2064</v>
      </c>
      <c r="E69">
        <v>1</v>
      </c>
      <c r="F69">
        <v>12</v>
      </c>
      <c r="G69" s="59">
        <f t="shared" si="3"/>
        <v>916</v>
      </c>
      <c r="I69" s="61">
        <f t="shared" si="8"/>
        <v>916</v>
      </c>
      <c r="L69" s="61">
        <f t="shared" si="6"/>
        <v>916</v>
      </c>
    </row>
    <row r="70" spans="1:12" ht="15.75">
      <c r="A70">
        <f t="shared" si="7"/>
        <v>62</v>
      </c>
      <c r="C70" s="55" t="s">
        <v>43</v>
      </c>
      <c r="D70" s="57">
        <f t="shared" si="5"/>
        <v>2065</v>
      </c>
      <c r="E70">
        <v>1</v>
      </c>
      <c r="F70">
        <v>12</v>
      </c>
      <c r="G70" s="59">
        <f t="shared" si="3"/>
        <v>916</v>
      </c>
      <c r="I70" s="61">
        <f t="shared" si="8"/>
        <v>916</v>
      </c>
      <c r="L70" s="61">
        <f t="shared" si="6"/>
        <v>916</v>
      </c>
    </row>
    <row r="71" spans="1:12" ht="15.75">
      <c r="A71">
        <f t="shared" si="7"/>
        <v>63</v>
      </c>
      <c r="C71" s="55" t="s">
        <v>43</v>
      </c>
      <c r="D71" s="57">
        <f t="shared" si="5"/>
        <v>2066</v>
      </c>
      <c r="E71">
        <v>1</v>
      </c>
      <c r="F71">
        <v>12</v>
      </c>
      <c r="G71" s="59">
        <f t="shared" si="3"/>
        <v>916</v>
      </c>
      <c r="I71" s="61">
        <f t="shared" si="8"/>
        <v>916</v>
      </c>
      <c r="L71" s="61">
        <f t="shared" si="6"/>
        <v>916</v>
      </c>
    </row>
    <row r="72" spans="1:12" ht="15.75">
      <c r="A72">
        <f t="shared" si="7"/>
        <v>64</v>
      </c>
      <c r="C72" s="55" t="s">
        <v>43</v>
      </c>
      <c r="D72" s="57">
        <f t="shared" si="5"/>
        <v>2067</v>
      </c>
      <c r="E72">
        <v>1</v>
      </c>
      <c r="F72">
        <v>12</v>
      </c>
      <c r="G72" s="59">
        <f t="shared" si="3"/>
        <v>916</v>
      </c>
      <c r="I72" s="61">
        <f t="shared" si="8"/>
        <v>916</v>
      </c>
      <c r="L72" s="61">
        <f t="shared" si="6"/>
        <v>916</v>
      </c>
    </row>
    <row r="73" spans="1:12" ht="15.75">
      <c r="A73">
        <f t="shared" si="7"/>
        <v>65</v>
      </c>
      <c r="C73" s="55" t="s">
        <v>43</v>
      </c>
      <c r="D73" s="57">
        <f aca="true" t="shared" si="9" ref="D73:D99">+D72+1</f>
        <v>2068</v>
      </c>
      <c r="E73">
        <v>1</v>
      </c>
      <c r="F73">
        <v>12</v>
      </c>
      <c r="G73" s="59">
        <f t="shared" si="3"/>
        <v>916</v>
      </c>
      <c r="I73" s="61">
        <f t="shared" si="8"/>
        <v>916</v>
      </c>
      <c r="L73" s="61">
        <f aca="true" t="shared" si="10" ref="L73:L99">+G73-K73</f>
        <v>916</v>
      </c>
    </row>
    <row r="74" spans="1:12" ht="15.75">
      <c r="A74">
        <f aca="true" t="shared" si="11" ref="A74:A99">+A73+1</f>
        <v>66</v>
      </c>
      <c r="C74" s="55" t="s">
        <v>43</v>
      </c>
      <c r="D74" s="57">
        <f t="shared" si="9"/>
        <v>2069</v>
      </c>
      <c r="E74">
        <v>1</v>
      </c>
      <c r="F74">
        <v>12</v>
      </c>
      <c r="G74" s="59">
        <f aca="true" t="shared" si="12" ref="G74:G98">ROUND((82660)/1083*12,0)</f>
        <v>916</v>
      </c>
      <c r="I74" s="61">
        <f t="shared" si="8"/>
        <v>916</v>
      </c>
      <c r="L74" s="61">
        <f t="shared" si="10"/>
        <v>916</v>
      </c>
    </row>
    <row r="75" spans="1:12" ht="15.75">
      <c r="A75">
        <f t="shared" si="11"/>
        <v>67</v>
      </c>
      <c r="C75" s="55" t="s">
        <v>43</v>
      </c>
      <c r="D75" s="57">
        <f t="shared" si="9"/>
        <v>2070</v>
      </c>
      <c r="E75">
        <v>1</v>
      </c>
      <c r="F75">
        <v>12</v>
      </c>
      <c r="G75" s="59">
        <f t="shared" si="12"/>
        <v>916</v>
      </c>
      <c r="I75" s="61">
        <f t="shared" si="8"/>
        <v>916</v>
      </c>
      <c r="L75" s="61">
        <f t="shared" si="10"/>
        <v>916</v>
      </c>
    </row>
    <row r="76" spans="1:12" ht="15.75">
      <c r="A76">
        <f t="shared" si="11"/>
        <v>68</v>
      </c>
      <c r="C76" s="55" t="s">
        <v>43</v>
      </c>
      <c r="D76" s="57">
        <f t="shared" si="9"/>
        <v>2071</v>
      </c>
      <c r="E76">
        <v>1</v>
      </c>
      <c r="F76">
        <v>12</v>
      </c>
      <c r="G76" s="59">
        <f t="shared" si="12"/>
        <v>916</v>
      </c>
      <c r="I76" s="61">
        <f aca="true" t="shared" si="13" ref="I76:I99">+G76</f>
        <v>916</v>
      </c>
      <c r="L76" s="61">
        <f t="shared" si="10"/>
        <v>916</v>
      </c>
    </row>
    <row r="77" spans="1:12" ht="15.75">
      <c r="A77">
        <f t="shared" si="11"/>
        <v>69</v>
      </c>
      <c r="C77" s="55" t="s">
        <v>43</v>
      </c>
      <c r="D77" s="57">
        <f t="shared" si="9"/>
        <v>2072</v>
      </c>
      <c r="E77">
        <v>1</v>
      </c>
      <c r="F77">
        <v>12</v>
      </c>
      <c r="G77" s="59">
        <f t="shared" si="12"/>
        <v>916</v>
      </c>
      <c r="I77" s="61">
        <f t="shared" si="13"/>
        <v>916</v>
      </c>
      <c r="L77" s="61">
        <f t="shared" si="10"/>
        <v>916</v>
      </c>
    </row>
    <row r="78" spans="1:12" ht="15.75">
      <c r="A78">
        <f t="shared" si="11"/>
        <v>70</v>
      </c>
      <c r="C78" s="55" t="s">
        <v>43</v>
      </c>
      <c r="D78" s="57">
        <f t="shared" si="9"/>
        <v>2073</v>
      </c>
      <c r="E78">
        <v>1</v>
      </c>
      <c r="F78">
        <v>12</v>
      </c>
      <c r="G78" s="59">
        <f t="shared" si="12"/>
        <v>916</v>
      </c>
      <c r="I78" s="61">
        <f t="shared" si="13"/>
        <v>916</v>
      </c>
      <c r="L78" s="61">
        <f t="shared" si="10"/>
        <v>916</v>
      </c>
    </row>
    <row r="79" spans="1:12" ht="15.75">
      <c r="A79">
        <f t="shared" si="11"/>
        <v>71</v>
      </c>
      <c r="C79" s="55" t="s">
        <v>43</v>
      </c>
      <c r="D79" s="57">
        <f t="shared" si="9"/>
        <v>2074</v>
      </c>
      <c r="E79">
        <v>1</v>
      </c>
      <c r="F79">
        <v>12</v>
      </c>
      <c r="G79" s="59">
        <f t="shared" si="12"/>
        <v>916</v>
      </c>
      <c r="I79" s="61">
        <f t="shared" si="13"/>
        <v>916</v>
      </c>
      <c r="L79" s="61">
        <f t="shared" si="10"/>
        <v>916</v>
      </c>
    </row>
    <row r="80" spans="1:12" ht="15.75">
      <c r="A80">
        <f t="shared" si="11"/>
        <v>72</v>
      </c>
      <c r="C80" s="55" t="s">
        <v>43</v>
      </c>
      <c r="D80" s="57">
        <f t="shared" si="9"/>
        <v>2075</v>
      </c>
      <c r="E80">
        <v>1</v>
      </c>
      <c r="F80">
        <v>12</v>
      </c>
      <c r="G80" s="59">
        <f t="shared" si="12"/>
        <v>916</v>
      </c>
      <c r="I80" s="61">
        <f t="shared" si="13"/>
        <v>916</v>
      </c>
      <c r="L80" s="61">
        <f t="shared" si="10"/>
        <v>916</v>
      </c>
    </row>
    <row r="81" spans="1:12" ht="15.75">
      <c r="A81">
        <f t="shared" si="11"/>
        <v>73</v>
      </c>
      <c r="C81" s="55" t="s">
        <v>43</v>
      </c>
      <c r="D81" s="57">
        <f t="shared" si="9"/>
        <v>2076</v>
      </c>
      <c r="E81">
        <v>1</v>
      </c>
      <c r="F81">
        <v>12</v>
      </c>
      <c r="G81" s="59">
        <f t="shared" si="12"/>
        <v>916</v>
      </c>
      <c r="I81" s="61">
        <f t="shared" si="13"/>
        <v>916</v>
      </c>
      <c r="L81" s="61">
        <f t="shared" si="10"/>
        <v>916</v>
      </c>
    </row>
    <row r="82" spans="1:12" ht="15.75">
      <c r="A82">
        <f t="shared" si="11"/>
        <v>74</v>
      </c>
      <c r="C82" s="55" t="s">
        <v>43</v>
      </c>
      <c r="D82" s="57">
        <f t="shared" si="9"/>
        <v>2077</v>
      </c>
      <c r="E82">
        <v>1</v>
      </c>
      <c r="F82">
        <v>12</v>
      </c>
      <c r="G82" s="59">
        <f t="shared" si="12"/>
        <v>916</v>
      </c>
      <c r="I82" s="61">
        <f t="shared" si="13"/>
        <v>916</v>
      </c>
      <c r="L82" s="61">
        <f t="shared" si="10"/>
        <v>916</v>
      </c>
    </row>
    <row r="83" spans="1:12" ht="15.75">
      <c r="A83">
        <f t="shared" si="11"/>
        <v>75</v>
      </c>
      <c r="C83" s="55" t="s">
        <v>43</v>
      </c>
      <c r="D83" s="57">
        <f t="shared" si="9"/>
        <v>2078</v>
      </c>
      <c r="E83">
        <v>1</v>
      </c>
      <c r="F83">
        <v>12</v>
      </c>
      <c r="G83" s="59">
        <f t="shared" si="12"/>
        <v>916</v>
      </c>
      <c r="I83" s="61">
        <f t="shared" si="13"/>
        <v>916</v>
      </c>
      <c r="L83" s="61">
        <f t="shared" si="10"/>
        <v>916</v>
      </c>
    </row>
    <row r="84" spans="1:12" ht="15.75">
      <c r="A84">
        <f t="shared" si="11"/>
        <v>76</v>
      </c>
      <c r="C84" s="55" t="s">
        <v>43</v>
      </c>
      <c r="D84" s="57">
        <f t="shared" si="9"/>
        <v>2079</v>
      </c>
      <c r="E84">
        <v>1</v>
      </c>
      <c r="F84">
        <v>12</v>
      </c>
      <c r="G84" s="59">
        <f t="shared" si="12"/>
        <v>916</v>
      </c>
      <c r="I84" s="61">
        <f t="shared" si="13"/>
        <v>916</v>
      </c>
      <c r="L84" s="61">
        <f t="shared" si="10"/>
        <v>916</v>
      </c>
    </row>
    <row r="85" spans="1:12" ht="15.75">
      <c r="A85">
        <f t="shared" si="11"/>
        <v>77</v>
      </c>
      <c r="C85" s="55" t="s">
        <v>43</v>
      </c>
      <c r="D85" s="57">
        <f t="shared" si="9"/>
        <v>2080</v>
      </c>
      <c r="E85">
        <v>1</v>
      </c>
      <c r="F85">
        <v>12</v>
      </c>
      <c r="G85" s="59">
        <f t="shared" si="12"/>
        <v>916</v>
      </c>
      <c r="I85" s="61">
        <f t="shared" si="13"/>
        <v>916</v>
      </c>
      <c r="L85" s="61">
        <f t="shared" si="10"/>
        <v>916</v>
      </c>
    </row>
    <row r="86" spans="1:12" ht="15.75">
      <c r="A86">
        <f t="shared" si="11"/>
        <v>78</v>
      </c>
      <c r="C86" s="55" t="s">
        <v>43</v>
      </c>
      <c r="D86" s="57">
        <f t="shared" si="9"/>
        <v>2081</v>
      </c>
      <c r="E86">
        <v>1</v>
      </c>
      <c r="F86">
        <v>12</v>
      </c>
      <c r="G86" s="59">
        <f t="shared" si="12"/>
        <v>916</v>
      </c>
      <c r="I86" s="61">
        <f t="shared" si="13"/>
        <v>916</v>
      </c>
      <c r="L86" s="61">
        <f t="shared" si="10"/>
        <v>916</v>
      </c>
    </row>
    <row r="87" spans="1:12" ht="15.75">
      <c r="A87">
        <f t="shared" si="11"/>
        <v>79</v>
      </c>
      <c r="C87" s="55" t="s">
        <v>43</v>
      </c>
      <c r="D87" s="57">
        <f t="shared" si="9"/>
        <v>2082</v>
      </c>
      <c r="E87">
        <v>1</v>
      </c>
      <c r="F87">
        <v>12</v>
      </c>
      <c r="G87" s="59">
        <f t="shared" si="12"/>
        <v>916</v>
      </c>
      <c r="I87" s="61">
        <f t="shared" si="13"/>
        <v>916</v>
      </c>
      <c r="L87" s="61">
        <f t="shared" si="10"/>
        <v>916</v>
      </c>
    </row>
    <row r="88" spans="1:12" ht="15.75">
      <c r="A88">
        <f t="shared" si="11"/>
        <v>80</v>
      </c>
      <c r="C88" s="55" t="s">
        <v>43</v>
      </c>
      <c r="D88" s="57">
        <f t="shared" si="9"/>
        <v>2083</v>
      </c>
      <c r="E88">
        <v>1</v>
      </c>
      <c r="F88">
        <v>12</v>
      </c>
      <c r="G88" s="59">
        <f t="shared" si="12"/>
        <v>916</v>
      </c>
      <c r="I88" s="61">
        <f t="shared" si="13"/>
        <v>916</v>
      </c>
      <c r="L88" s="61">
        <f t="shared" si="10"/>
        <v>916</v>
      </c>
    </row>
    <row r="89" spans="1:12" ht="15.75">
      <c r="A89">
        <f t="shared" si="11"/>
        <v>81</v>
      </c>
      <c r="C89" s="55" t="s">
        <v>43</v>
      </c>
      <c r="D89" s="57">
        <f t="shared" si="9"/>
        <v>2084</v>
      </c>
      <c r="E89">
        <v>1</v>
      </c>
      <c r="F89">
        <v>12</v>
      </c>
      <c r="G89" s="59">
        <f t="shared" si="12"/>
        <v>916</v>
      </c>
      <c r="I89" s="61">
        <f t="shared" si="13"/>
        <v>916</v>
      </c>
      <c r="L89" s="61">
        <f t="shared" si="10"/>
        <v>916</v>
      </c>
    </row>
    <row r="90" spans="1:12" ht="15.75">
      <c r="A90">
        <f t="shared" si="11"/>
        <v>82</v>
      </c>
      <c r="C90" s="55" t="s">
        <v>43</v>
      </c>
      <c r="D90" s="57">
        <f t="shared" si="9"/>
        <v>2085</v>
      </c>
      <c r="E90">
        <v>1</v>
      </c>
      <c r="F90">
        <v>12</v>
      </c>
      <c r="G90" s="59">
        <f t="shared" si="12"/>
        <v>916</v>
      </c>
      <c r="I90" s="61">
        <f t="shared" si="13"/>
        <v>916</v>
      </c>
      <c r="L90" s="61">
        <f t="shared" si="10"/>
        <v>916</v>
      </c>
    </row>
    <row r="91" spans="1:12" ht="15.75">
      <c r="A91">
        <f t="shared" si="11"/>
        <v>83</v>
      </c>
      <c r="C91" s="55" t="s">
        <v>43</v>
      </c>
      <c r="D91" s="57">
        <f t="shared" si="9"/>
        <v>2086</v>
      </c>
      <c r="E91">
        <v>1</v>
      </c>
      <c r="F91">
        <v>12</v>
      </c>
      <c r="G91" s="59">
        <f t="shared" si="12"/>
        <v>916</v>
      </c>
      <c r="I91" s="61">
        <f t="shared" si="13"/>
        <v>916</v>
      </c>
      <c r="L91" s="61">
        <f t="shared" si="10"/>
        <v>916</v>
      </c>
    </row>
    <row r="92" spans="1:12" ht="15.75">
      <c r="A92">
        <f t="shared" si="11"/>
        <v>84</v>
      </c>
      <c r="C92" s="55" t="s">
        <v>43</v>
      </c>
      <c r="D92" s="57">
        <f t="shared" si="9"/>
        <v>2087</v>
      </c>
      <c r="E92">
        <v>1</v>
      </c>
      <c r="F92">
        <v>12</v>
      </c>
      <c r="G92" s="59">
        <f t="shared" si="12"/>
        <v>916</v>
      </c>
      <c r="I92" s="61">
        <f t="shared" si="13"/>
        <v>916</v>
      </c>
      <c r="L92" s="61">
        <f t="shared" si="10"/>
        <v>916</v>
      </c>
    </row>
    <row r="93" spans="1:12" ht="15.75">
      <c r="A93">
        <f t="shared" si="11"/>
        <v>85</v>
      </c>
      <c r="C93" s="55" t="s">
        <v>43</v>
      </c>
      <c r="D93" s="57">
        <f t="shared" si="9"/>
        <v>2088</v>
      </c>
      <c r="E93">
        <v>1</v>
      </c>
      <c r="F93">
        <v>12</v>
      </c>
      <c r="G93" s="59">
        <f t="shared" si="12"/>
        <v>916</v>
      </c>
      <c r="I93" s="61">
        <f t="shared" si="13"/>
        <v>916</v>
      </c>
      <c r="L93" s="61">
        <f t="shared" si="10"/>
        <v>916</v>
      </c>
    </row>
    <row r="94" spans="1:12" ht="15.75">
      <c r="A94">
        <f t="shared" si="11"/>
        <v>86</v>
      </c>
      <c r="C94" s="55" t="s">
        <v>43</v>
      </c>
      <c r="D94" s="57">
        <f t="shared" si="9"/>
        <v>2089</v>
      </c>
      <c r="E94">
        <v>1</v>
      </c>
      <c r="F94">
        <v>12</v>
      </c>
      <c r="G94" s="59">
        <f t="shared" si="12"/>
        <v>916</v>
      </c>
      <c r="I94" s="61">
        <f t="shared" si="13"/>
        <v>916</v>
      </c>
      <c r="L94" s="61">
        <f t="shared" si="10"/>
        <v>916</v>
      </c>
    </row>
    <row r="95" spans="1:12" ht="15.75">
      <c r="A95">
        <f t="shared" si="11"/>
        <v>87</v>
      </c>
      <c r="C95" s="55" t="s">
        <v>43</v>
      </c>
      <c r="D95" s="57">
        <f t="shared" si="9"/>
        <v>2090</v>
      </c>
      <c r="E95">
        <v>1</v>
      </c>
      <c r="F95">
        <v>12</v>
      </c>
      <c r="G95" s="59">
        <f t="shared" si="12"/>
        <v>916</v>
      </c>
      <c r="I95" s="61">
        <f t="shared" si="13"/>
        <v>916</v>
      </c>
      <c r="L95" s="61">
        <f t="shared" si="10"/>
        <v>916</v>
      </c>
    </row>
    <row r="96" spans="1:12" ht="15.75">
      <c r="A96">
        <f t="shared" si="11"/>
        <v>88</v>
      </c>
      <c r="C96" s="55" t="s">
        <v>43</v>
      </c>
      <c r="D96" s="57">
        <f t="shared" si="9"/>
        <v>2091</v>
      </c>
      <c r="E96">
        <v>1</v>
      </c>
      <c r="F96">
        <v>12</v>
      </c>
      <c r="G96" s="59">
        <f t="shared" si="12"/>
        <v>916</v>
      </c>
      <c r="I96" s="61">
        <f t="shared" si="13"/>
        <v>916</v>
      </c>
      <c r="L96" s="61">
        <f t="shared" si="10"/>
        <v>916</v>
      </c>
    </row>
    <row r="97" spans="1:12" ht="15.75">
      <c r="A97">
        <f t="shared" si="11"/>
        <v>89</v>
      </c>
      <c r="C97" s="55" t="s">
        <v>43</v>
      </c>
      <c r="D97" s="57">
        <f t="shared" si="9"/>
        <v>2092</v>
      </c>
      <c r="E97">
        <v>1</v>
      </c>
      <c r="F97">
        <v>12</v>
      </c>
      <c r="G97" s="59">
        <f t="shared" si="12"/>
        <v>916</v>
      </c>
      <c r="I97" s="61">
        <f t="shared" si="13"/>
        <v>916</v>
      </c>
      <c r="L97" s="61">
        <f t="shared" si="10"/>
        <v>916</v>
      </c>
    </row>
    <row r="98" spans="1:12" ht="15.75">
      <c r="A98">
        <f t="shared" si="11"/>
        <v>90</v>
      </c>
      <c r="C98" s="55" t="s">
        <v>43</v>
      </c>
      <c r="D98" s="57">
        <f t="shared" si="9"/>
        <v>2093</v>
      </c>
      <c r="E98">
        <v>1</v>
      </c>
      <c r="F98">
        <v>12</v>
      </c>
      <c r="G98" s="59">
        <f t="shared" si="12"/>
        <v>916</v>
      </c>
      <c r="I98" s="61">
        <f t="shared" si="13"/>
        <v>916</v>
      </c>
      <c r="L98" s="61">
        <f t="shared" si="10"/>
        <v>916</v>
      </c>
    </row>
    <row r="99" spans="1:12" ht="15.75">
      <c r="A99">
        <f t="shared" si="11"/>
        <v>91</v>
      </c>
      <c r="C99" s="55" t="s">
        <v>81</v>
      </c>
      <c r="D99" s="57">
        <f t="shared" si="9"/>
        <v>2094</v>
      </c>
      <c r="E99">
        <v>1</v>
      </c>
      <c r="F99">
        <v>3</v>
      </c>
      <c r="G99" s="59">
        <f>82660-82440</f>
        <v>220</v>
      </c>
      <c r="I99" s="61">
        <f t="shared" si="13"/>
        <v>220</v>
      </c>
      <c r="L99" s="61">
        <f t="shared" si="10"/>
        <v>220</v>
      </c>
    </row>
    <row r="100" spans="3:12" ht="16.5" thickBot="1">
      <c r="C100" s="55"/>
      <c r="D100" s="57"/>
      <c r="E100" s="58">
        <f>SUM(E9:E99)</f>
        <v>91</v>
      </c>
      <c r="F100" s="58">
        <f>SUM(F9:F99)</f>
        <v>1083</v>
      </c>
      <c r="G100" s="78">
        <f>SUM(G9:G99)</f>
        <v>82660</v>
      </c>
      <c r="H100" s="78">
        <f>SUM(H9:H99)</f>
        <v>2748</v>
      </c>
      <c r="I100" s="78">
        <f>SUM(I9:I99)</f>
        <v>79912</v>
      </c>
      <c r="K100" s="78">
        <f>SUM(K9:K99)</f>
        <v>2061</v>
      </c>
      <c r="L100" s="78">
        <f>SUM(L9:L99)</f>
        <v>80599</v>
      </c>
    </row>
    <row r="101" spans="3:4" ht="16.5" thickTop="1">
      <c r="C101" s="55"/>
      <c r="D101" s="57"/>
    </row>
    <row r="102" spans="3:4" ht="15.75">
      <c r="C102" s="55"/>
      <c r="D102" s="57"/>
    </row>
    <row r="103" spans="3:4" ht="15.75">
      <c r="C103" s="55"/>
      <c r="D103" s="57"/>
    </row>
    <row r="104" spans="3:4" ht="15.75">
      <c r="C104" s="55"/>
      <c r="D104" s="57"/>
    </row>
    <row r="105" spans="3:4" ht="15.75">
      <c r="C105" s="55"/>
      <c r="D105" s="57"/>
    </row>
    <row r="106" spans="3:4" ht="15.75">
      <c r="C106" s="55"/>
      <c r="D106" s="57"/>
    </row>
    <row r="107" spans="3:4" ht="15.75">
      <c r="C107" s="55"/>
      <c r="D107" s="57"/>
    </row>
    <row r="108" spans="3:4" ht="15.75">
      <c r="C108" s="55"/>
      <c r="D108" s="57"/>
    </row>
    <row r="109" ht="15.75">
      <c r="C109" s="57"/>
    </row>
    <row r="110" ht="15.75">
      <c r="C110" s="57"/>
    </row>
    <row r="111" ht="15.75">
      <c r="C111" s="57"/>
    </row>
    <row r="112" ht="15.75">
      <c r="C112" s="57"/>
    </row>
    <row r="113" ht="15.75">
      <c r="C113" s="57"/>
    </row>
    <row r="114" ht="15.75">
      <c r="C114" s="57"/>
    </row>
    <row r="115" ht="15.75">
      <c r="C115" s="57"/>
    </row>
  </sheetData>
  <sheetProtection/>
  <printOptions/>
  <pageMargins left="0.75" right="0" top="0" bottom="0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pcyeoh</cp:lastModifiedBy>
  <cp:lastPrinted>2009-09-29T07:49:06Z</cp:lastPrinted>
  <dcterms:created xsi:type="dcterms:W3CDTF">2004-12-14T03:35:39Z</dcterms:created>
  <dcterms:modified xsi:type="dcterms:W3CDTF">2009-09-29T10:21:23Z</dcterms:modified>
  <cp:category/>
  <cp:version/>
  <cp:contentType/>
  <cp:contentStatus/>
</cp:coreProperties>
</file>